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28" firstSheet="8" activeTab="16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8" r:id="rId7"/>
    <sheet name="SEPTIEMBRE" sheetId="10" r:id="rId8"/>
    <sheet name="AGOSTO" sheetId="9" r:id="rId9"/>
    <sheet name="OCTUBRE" sheetId="11" r:id="rId10"/>
    <sheet name="NOVIEMBRE" sheetId="12" r:id="rId11"/>
    <sheet name="DICIEMBRE" sheetId="13" r:id="rId12"/>
    <sheet name="GASTOS" sheetId="15" r:id="rId13"/>
    <sheet name="RESUMEN" sheetId="7" r:id="rId14"/>
    <sheet name="PERSONAL" sheetId="14" r:id="rId15"/>
    <sheet name="DEPRECIACION" sheetId="16" r:id="rId16"/>
    <sheet name="Hoja3" sheetId="18" r:id="rId17"/>
    <sheet name="Hoja2" sheetId="17" r:id="rId18"/>
  </sheets>
  <externalReferences>
    <externalReference r:id="rId19"/>
  </externalReferences>
  <definedNames>
    <definedName name="_xlnm._FilterDatabase" localSheetId="12" hidden="1">GASTOS!$A$1:$E$6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8" l="1"/>
  <c r="L43" i="18" l="1"/>
  <c r="L42" i="18"/>
  <c r="D17" i="15"/>
  <c r="D24" i="15"/>
  <c r="K20" i="18" s="1"/>
  <c r="D36" i="18"/>
  <c r="L11" i="18" l="1"/>
  <c r="D20" i="18"/>
  <c r="K17" i="18"/>
  <c r="K16" i="18"/>
  <c r="K15" i="18"/>
  <c r="L14" i="18" l="1"/>
  <c r="D44" i="13"/>
  <c r="D43" i="13"/>
  <c r="D22" i="13"/>
  <c r="E22" i="13"/>
  <c r="F22" i="13"/>
  <c r="G22" i="13"/>
  <c r="C22" i="13"/>
  <c r="C6" i="13"/>
  <c r="D41" i="11"/>
  <c r="D29" i="11"/>
  <c r="D40" i="11"/>
  <c r="G18" i="13" l="1"/>
  <c r="G16" i="11"/>
  <c r="E30" i="18" l="1"/>
  <c r="D18" i="18"/>
  <c r="D17" i="18"/>
  <c r="D16" i="18"/>
  <c r="E11" i="18"/>
  <c r="E8" i="18"/>
  <c r="H15" i="16"/>
  <c r="H14" i="16"/>
  <c r="H22" i="16"/>
  <c r="K28" i="18" s="1"/>
  <c r="G11" i="16"/>
  <c r="H13" i="16"/>
  <c r="G14" i="16"/>
  <c r="G22" i="16"/>
  <c r="G19" i="16"/>
  <c r="F19" i="16"/>
  <c r="H16" i="16"/>
  <c r="F16" i="16"/>
  <c r="E16" i="16"/>
  <c r="E13" i="16"/>
  <c r="G4" i="16"/>
  <c r="D22" i="16"/>
  <c r="C22" i="16"/>
  <c r="G20" i="16"/>
  <c r="F20" i="16"/>
  <c r="E20" i="16"/>
  <c r="E19" i="16"/>
  <c r="G18" i="16"/>
  <c r="F18" i="16"/>
  <c r="E18" i="16"/>
  <c r="G17" i="16"/>
  <c r="F17" i="16"/>
  <c r="E17" i="16"/>
  <c r="G16" i="16"/>
  <c r="G15" i="16"/>
  <c r="F15" i="16"/>
  <c r="E15" i="16"/>
  <c r="F14" i="16"/>
  <c r="E14" i="16"/>
  <c r="G13" i="16"/>
  <c r="F13" i="16"/>
  <c r="G12" i="16"/>
  <c r="F12" i="16"/>
  <c r="E12" i="16"/>
  <c r="F11" i="16"/>
  <c r="E11" i="16"/>
  <c r="G10" i="16"/>
  <c r="F10" i="16"/>
  <c r="E10" i="16"/>
  <c r="G9" i="16"/>
  <c r="F9" i="16"/>
  <c r="E9" i="16"/>
  <c r="G8" i="16"/>
  <c r="F8" i="16"/>
  <c r="E8" i="16"/>
  <c r="G7" i="16"/>
  <c r="F7" i="16"/>
  <c r="E7" i="16"/>
  <c r="G6" i="16"/>
  <c r="F6" i="16"/>
  <c r="E6" i="16"/>
  <c r="G5" i="16"/>
  <c r="E5" i="16"/>
  <c r="F4" i="16"/>
  <c r="E4" i="16"/>
  <c r="E22" i="18" l="1"/>
  <c r="E13" i="18"/>
  <c r="F22" i="16"/>
  <c r="E22" i="16"/>
  <c r="E24" i="18" l="1"/>
  <c r="P6" i="14" l="1"/>
  <c r="B33" i="7"/>
  <c r="B32" i="7"/>
  <c r="B31" i="7"/>
  <c r="B30" i="7"/>
  <c r="B29" i="7"/>
  <c r="B28" i="7"/>
  <c r="B27" i="7"/>
  <c r="B26" i="7"/>
  <c r="B25" i="7"/>
  <c r="B24" i="7"/>
  <c r="D120" i="15"/>
  <c r="K21" i="18" s="1"/>
  <c r="L19" i="18" s="1"/>
  <c r="D63" i="15"/>
  <c r="K27" i="18" s="1"/>
  <c r="K26" i="18"/>
  <c r="D37" i="15"/>
  <c r="K25" i="18" s="1"/>
  <c r="F20" i="7"/>
  <c r="C18" i="7"/>
  <c r="C19" i="7" s="1"/>
  <c r="F17" i="7"/>
  <c r="C17" i="7"/>
  <c r="D20" i="2"/>
  <c r="D18" i="1"/>
  <c r="C9" i="3"/>
  <c r="C5" i="10"/>
  <c r="C5" i="11"/>
  <c r="C21" i="7" l="1"/>
  <c r="K9" i="18"/>
  <c r="D43" i="15"/>
  <c r="D45" i="15" s="1"/>
  <c r="D22" i="4"/>
  <c r="C22" i="4"/>
  <c r="D15" i="5"/>
  <c r="K24" i="18" l="1"/>
  <c r="L23" i="18" s="1"/>
  <c r="L29" i="18" s="1"/>
  <c r="L31" i="18" s="1"/>
  <c r="D122" i="15"/>
  <c r="G19" i="7" s="1"/>
  <c r="F13" i="13"/>
  <c r="F16" i="13"/>
  <c r="E15" i="13"/>
  <c r="F15" i="13" s="1"/>
  <c r="F12" i="13"/>
  <c r="L33" i="18" l="1"/>
  <c r="L35" i="18" s="1"/>
  <c r="U4" i="14"/>
  <c r="T4" i="14"/>
  <c r="V2" i="14"/>
  <c r="L37" i="18" l="1"/>
  <c r="L38" i="18" s="1"/>
  <c r="D37" i="18"/>
  <c r="E38" i="18" s="1"/>
  <c r="S4" i="14"/>
  <c r="O4" i="14"/>
  <c r="N4" i="14"/>
  <c r="M4" i="14"/>
  <c r="L4" i="14"/>
  <c r="K4" i="14"/>
  <c r="J4" i="14"/>
  <c r="I4" i="14"/>
  <c r="H4" i="14"/>
  <c r="G4" i="14"/>
  <c r="F4" i="14"/>
  <c r="E4" i="14"/>
  <c r="D4" i="14"/>
  <c r="P2" i="14"/>
  <c r="P4" i="14" s="1"/>
  <c r="E40" i="18" l="1"/>
  <c r="Q2" i="14"/>
  <c r="R2" i="14"/>
  <c r="V4" i="14"/>
  <c r="D43" i="12"/>
  <c r="D29" i="12"/>
  <c r="D31" i="12"/>
  <c r="D42" i="12"/>
  <c r="E31" i="12"/>
  <c r="C21" i="12"/>
  <c r="G21" i="12"/>
  <c r="G16" i="12"/>
  <c r="D21" i="12"/>
  <c r="F10" i="12"/>
  <c r="C7" i="12"/>
  <c r="F2" i="13"/>
  <c r="D2" i="13"/>
  <c r="G2" i="13" s="1"/>
  <c r="E43" i="13"/>
  <c r="E42" i="13"/>
  <c r="E39" i="13"/>
  <c r="E27" i="13"/>
  <c r="D30" i="13"/>
  <c r="E21" i="13"/>
  <c r="F21" i="13" s="1"/>
  <c r="G20" i="13"/>
  <c r="E20" i="13"/>
  <c r="F20" i="13" s="1"/>
  <c r="E19" i="13"/>
  <c r="F19" i="13" s="1"/>
  <c r="E18" i="13"/>
  <c r="F18" i="13" s="1"/>
  <c r="E17" i="13"/>
  <c r="F17" i="13" s="1"/>
  <c r="E14" i="13"/>
  <c r="F14" i="13" s="1"/>
  <c r="E11" i="13"/>
  <c r="F11" i="13" s="1"/>
  <c r="E10" i="13"/>
  <c r="F10" i="13" s="1"/>
  <c r="E9" i="13"/>
  <c r="F9" i="13" s="1"/>
  <c r="D26" i="13"/>
  <c r="E26" i="13" s="1"/>
  <c r="E29" i="13" s="1"/>
  <c r="F4" i="13"/>
  <c r="D4" i="13"/>
  <c r="G4" i="13" s="1"/>
  <c r="F3" i="13"/>
  <c r="D3" i="13"/>
  <c r="G3" i="13" s="1"/>
  <c r="D6" i="12"/>
  <c r="E6" i="12"/>
  <c r="F6" i="12"/>
  <c r="D31" i="13" l="1"/>
  <c r="F18" i="7"/>
  <c r="F19" i="7" s="1"/>
  <c r="F21" i="7" s="1"/>
  <c r="G21" i="7" s="1"/>
  <c r="E45" i="13"/>
  <c r="D6" i="13"/>
  <c r="Q4" i="14"/>
  <c r="R4" i="14"/>
  <c r="F6" i="13"/>
  <c r="B34" i="7" s="1"/>
  <c r="B35" i="7" s="1"/>
  <c r="E2" i="13"/>
  <c r="E30" i="13"/>
  <c r="E32" i="13" s="1"/>
  <c r="D32" i="13"/>
  <c r="E3" i="13"/>
  <c r="D45" i="13"/>
  <c r="E4" i="13"/>
  <c r="G6" i="13"/>
  <c r="E35" i="13" s="1"/>
  <c r="G19" i="12"/>
  <c r="E19" i="12"/>
  <c r="F19" i="12" s="1"/>
  <c r="E6" i="13" l="1"/>
  <c r="D19" i="11"/>
  <c r="E19" i="11"/>
  <c r="F19" i="11"/>
  <c r="G19" i="11"/>
  <c r="C19" i="11"/>
  <c r="E18" i="11"/>
  <c r="F18" i="11" s="1"/>
  <c r="F21" i="12"/>
  <c r="F2" i="12" l="1"/>
  <c r="D2" i="12"/>
  <c r="D4" i="12"/>
  <c r="G4" i="12" s="1"/>
  <c r="E4" i="12"/>
  <c r="F4" i="12"/>
  <c r="D5" i="12"/>
  <c r="F5" i="12"/>
  <c r="D25" i="12"/>
  <c r="E25" i="12" s="1"/>
  <c r="E41" i="12"/>
  <c r="E38" i="12"/>
  <c r="D30" i="12"/>
  <c r="E26" i="12"/>
  <c r="E18" i="12"/>
  <c r="E17" i="12"/>
  <c r="E16" i="12"/>
  <c r="E15" i="12"/>
  <c r="E12" i="12"/>
  <c r="E11" i="12"/>
  <c r="E10" i="12"/>
  <c r="F3" i="12"/>
  <c r="D3" i="12"/>
  <c r="G3" i="12" s="1"/>
  <c r="E28" i="12" l="1"/>
  <c r="G2" i="12"/>
  <c r="G7" i="12" s="1"/>
  <c r="E34" i="12" s="1"/>
  <c r="D7" i="12"/>
  <c r="F7" i="12"/>
  <c r="E5" i="12"/>
  <c r="E21" i="12"/>
  <c r="E2" i="12"/>
  <c r="E29" i="12"/>
  <c r="D44" i="12"/>
  <c r="E3" i="12"/>
  <c r="E42" i="12"/>
  <c r="E44" i="12" s="1"/>
  <c r="E7" i="12" l="1"/>
  <c r="E16" i="11" l="1"/>
  <c r="D28" i="11"/>
  <c r="G14" i="11"/>
  <c r="E39" i="11"/>
  <c r="E36" i="11"/>
  <c r="E24" i="11"/>
  <c r="E15" i="11"/>
  <c r="E14" i="11"/>
  <c r="E13" i="11"/>
  <c r="E10" i="11"/>
  <c r="E9" i="11"/>
  <c r="E8" i="11"/>
  <c r="D27" i="11"/>
  <c r="D23" i="11"/>
  <c r="E23" i="11" s="1"/>
  <c r="E26" i="11" s="1"/>
  <c r="F3" i="11"/>
  <c r="F5" i="11" s="1"/>
  <c r="D3" i="11"/>
  <c r="E3" i="11" s="1"/>
  <c r="D5" i="11"/>
  <c r="G3" i="11" l="1"/>
  <c r="G5" i="11" s="1"/>
  <c r="E32" i="11" s="1"/>
  <c r="E27" i="11"/>
  <c r="E29" i="11" s="1"/>
  <c r="D42" i="11"/>
  <c r="E40" i="11"/>
  <c r="E42" i="11" s="1"/>
  <c r="E5" i="11"/>
  <c r="D39" i="10"/>
  <c r="E30" i="10"/>
  <c r="D25" i="10"/>
  <c r="D21" i="10"/>
  <c r="D40" i="10"/>
  <c r="E38" i="10"/>
  <c r="D38" i="10"/>
  <c r="E37" i="10"/>
  <c r="E40" i="10" s="1"/>
  <c r="E34" i="10"/>
  <c r="D26" i="10"/>
  <c r="D27" i="10"/>
  <c r="E22" i="10"/>
  <c r="E21" i="10"/>
  <c r="E24" i="10" s="1"/>
  <c r="D17" i="10"/>
  <c r="C17" i="10"/>
  <c r="E25" i="10" l="1"/>
  <c r="E27" i="10" s="1"/>
  <c r="F17" i="10" l="1"/>
  <c r="D15" i="10"/>
  <c r="E15" i="10" s="1"/>
  <c r="D13" i="10"/>
  <c r="E13" i="10" s="1"/>
  <c r="D8" i="10"/>
  <c r="E8" i="10" s="1"/>
  <c r="E17" i="10" s="1"/>
  <c r="D9" i="10"/>
  <c r="E9" i="10" s="1"/>
  <c r="D10" i="10"/>
  <c r="E10" i="10" s="1"/>
  <c r="F2" i="10"/>
  <c r="G17" i="10"/>
  <c r="E14" i="10"/>
  <c r="F3" i="10"/>
  <c r="D3" i="10"/>
  <c r="G3" i="10" s="1"/>
  <c r="E2" i="10"/>
  <c r="D2" i="10"/>
  <c r="F5" i="10" l="1"/>
  <c r="D5" i="10"/>
  <c r="E3" i="10"/>
  <c r="E5" i="10" s="1"/>
  <c r="G2" i="10"/>
  <c r="G5" i="10" s="1"/>
  <c r="E41" i="9"/>
  <c r="C21" i="9"/>
  <c r="D21" i="9"/>
  <c r="D41" i="9" l="1"/>
  <c r="G20" i="9"/>
  <c r="G19" i="9"/>
  <c r="E20" i="9"/>
  <c r="F20" i="9"/>
  <c r="E19" i="9"/>
  <c r="F19" i="9"/>
  <c r="D42" i="9"/>
  <c r="E42" i="9" s="1"/>
  <c r="F17" i="9"/>
  <c r="G18" i="9"/>
  <c r="G21" i="9" s="1"/>
  <c r="E18" i="9"/>
  <c r="F18" i="9" s="1"/>
  <c r="D12" i="9"/>
  <c r="E12" i="9" s="1"/>
  <c r="D11" i="9"/>
  <c r="E11" i="9" s="1"/>
  <c r="D10" i="9"/>
  <c r="D29" i="9" s="1"/>
  <c r="D43" i="9" l="1"/>
  <c r="D44" i="9" s="1"/>
  <c r="L21" i="6"/>
  <c r="D17" i="6" l="1"/>
  <c r="D41" i="8" l="1"/>
  <c r="D19" i="8"/>
  <c r="C19" i="8"/>
  <c r="G44" i="9"/>
  <c r="G45" i="9" s="1"/>
  <c r="G42" i="9"/>
  <c r="E44" i="9"/>
  <c r="E38" i="9"/>
  <c r="E26" i="9"/>
  <c r="D30" i="9"/>
  <c r="E16" i="9"/>
  <c r="F16" i="9" s="1"/>
  <c r="E15" i="9"/>
  <c r="F15" i="9" s="1"/>
  <c r="F14" i="9"/>
  <c r="F13" i="9"/>
  <c r="E10" i="9"/>
  <c r="E21" i="9" s="1"/>
  <c r="C7" i="9"/>
  <c r="D25" i="9" s="1"/>
  <c r="E25" i="9" s="1"/>
  <c r="F4" i="9"/>
  <c r="D4" i="9"/>
  <c r="E4" i="9" s="1"/>
  <c r="F3" i="9"/>
  <c r="D3" i="9"/>
  <c r="E3" i="9" s="1"/>
  <c r="F2" i="9"/>
  <c r="F7" i="9" s="1"/>
  <c r="D2" i="9"/>
  <c r="G2" i="9" s="1"/>
  <c r="E40" i="8"/>
  <c r="E42" i="8" s="1"/>
  <c r="D27" i="8"/>
  <c r="C7" i="8"/>
  <c r="G19" i="8"/>
  <c r="G17" i="8"/>
  <c r="E17" i="8"/>
  <c r="F17" i="8" s="1"/>
  <c r="F3" i="8"/>
  <c r="D3" i="8"/>
  <c r="G3" i="8" s="1"/>
  <c r="E39" i="8"/>
  <c r="E36" i="8"/>
  <c r="E24" i="8"/>
  <c r="G16" i="8"/>
  <c r="E16" i="8"/>
  <c r="F16" i="8" s="1"/>
  <c r="E15" i="8"/>
  <c r="F15" i="8" s="1"/>
  <c r="F19" i="8" s="1"/>
  <c r="F14" i="8"/>
  <c r="F13" i="8"/>
  <c r="E12" i="8"/>
  <c r="E11" i="8"/>
  <c r="E19" i="8" s="1"/>
  <c r="E10" i="8"/>
  <c r="D23" i="8"/>
  <c r="E23" i="8" s="1"/>
  <c r="E26" i="8" s="1"/>
  <c r="E29" i="8" s="1"/>
  <c r="F4" i="8"/>
  <c r="D4" i="8"/>
  <c r="E4" i="8" s="1"/>
  <c r="F2" i="8"/>
  <c r="D2" i="8"/>
  <c r="E2" i="8" s="1"/>
  <c r="E28" i="9" l="1"/>
  <c r="F21" i="9"/>
  <c r="D7" i="9"/>
  <c r="G3" i="9"/>
  <c r="G7" i="9" s="1"/>
  <c r="E34" i="9" s="1"/>
  <c r="E2" i="9"/>
  <c r="E7" i="9" s="1"/>
  <c r="G4" i="8"/>
  <c r="D42" i="8"/>
  <c r="F7" i="8"/>
  <c r="G2" i="8"/>
  <c r="E3" i="8"/>
  <c r="E7" i="8" s="1"/>
  <c r="G7" i="8"/>
  <c r="E32" i="8" s="1"/>
  <c r="E27" i="8"/>
  <c r="E44" i="8"/>
  <c r="D7" i="8"/>
  <c r="D28" i="8"/>
  <c r="D29" i="8" s="1"/>
  <c r="E29" i="9" l="1"/>
  <c r="E31" i="9" s="1"/>
  <c r="D31" i="9"/>
  <c r="E38" i="6"/>
  <c r="D38" i="6"/>
  <c r="E17" i="6"/>
  <c r="F17" i="6"/>
  <c r="G17" i="6"/>
  <c r="C17" i="6"/>
  <c r="C7" i="6"/>
  <c r="D7" i="6"/>
  <c r="E7" i="6"/>
  <c r="F7" i="6"/>
  <c r="G7" i="6"/>
  <c r="G16" i="6"/>
  <c r="E16" i="6"/>
  <c r="F16" i="6" s="1"/>
  <c r="G9" i="6"/>
  <c r="G4" i="6"/>
  <c r="G5" i="6"/>
  <c r="G2" i="6"/>
  <c r="F2" i="6"/>
  <c r="D2" i="6"/>
  <c r="E2" i="6" s="1"/>
  <c r="F6" i="6"/>
  <c r="D6" i="6"/>
  <c r="E6" i="6" s="1"/>
  <c r="F5" i="6"/>
  <c r="D5" i="6"/>
  <c r="E5" i="6" s="1"/>
  <c r="F4" i="6"/>
  <c r="E4" i="6"/>
  <c r="D4" i="6"/>
  <c r="F3" i="6"/>
  <c r="D3" i="6"/>
  <c r="E3" i="6" s="1"/>
  <c r="G40" i="6"/>
  <c r="G41" i="6" s="1"/>
  <c r="G38" i="6"/>
  <c r="E37" i="6"/>
  <c r="E34" i="6"/>
  <c r="E22" i="6"/>
  <c r="D25" i="6"/>
  <c r="E15" i="6"/>
  <c r="F15" i="6" s="1"/>
  <c r="F14" i="6"/>
  <c r="F13" i="6"/>
  <c r="E12" i="6"/>
  <c r="E11" i="6"/>
  <c r="E10" i="6"/>
  <c r="E9" i="6"/>
  <c r="F9" i="6" s="1"/>
  <c r="D21" i="6"/>
  <c r="E21" i="6" s="1"/>
  <c r="E40" i="6" l="1"/>
  <c r="E42" i="6" s="1"/>
  <c r="E24" i="6"/>
  <c r="G3" i="6"/>
  <c r="E30" i="6" s="1"/>
  <c r="D39" i="6"/>
  <c r="D40" i="6" s="1"/>
  <c r="E25" i="6"/>
  <c r="E27" i="6" s="1"/>
  <c r="D26" i="6"/>
  <c r="D27" i="6" s="1"/>
  <c r="C15" i="5"/>
  <c r="E15" i="5"/>
  <c r="F15" i="5"/>
  <c r="D23" i="5"/>
  <c r="E7" i="5"/>
  <c r="F7" i="5" s="1"/>
  <c r="C5" i="5"/>
  <c r="F3" i="5"/>
  <c r="F2" i="5"/>
  <c r="G38" i="5"/>
  <c r="G39" i="5" s="1"/>
  <c r="G36" i="5"/>
  <c r="E36" i="5"/>
  <c r="E35" i="5"/>
  <c r="E38" i="5" s="1"/>
  <c r="E32" i="5"/>
  <c r="E20" i="5"/>
  <c r="G15" i="5"/>
  <c r="E13" i="5"/>
  <c r="F13" i="5" s="1"/>
  <c r="F12" i="5"/>
  <c r="F11" i="5"/>
  <c r="E10" i="5"/>
  <c r="E9" i="5"/>
  <c r="E8" i="5"/>
  <c r="D19" i="5"/>
  <c r="E19" i="5" s="1"/>
  <c r="G5" i="5"/>
  <c r="E28" i="5" s="1"/>
  <c r="D3" i="5"/>
  <c r="E3" i="5" s="1"/>
  <c r="D2" i="5"/>
  <c r="E22" i="5" l="1"/>
  <c r="D37" i="5"/>
  <c r="D38" i="5" s="1"/>
  <c r="D24" i="5"/>
  <c r="D25" i="5" s="1"/>
  <c r="D5" i="5"/>
  <c r="F5" i="5"/>
  <c r="E23" i="5"/>
  <c r="E25" i="5" s="1"/>
  <c r="E40" i="5"/>
  <c r="E2" i="5"/>
  <c r="E5" i="5" s="1"/>
  <c r="F7" i="3"/>
  <c r="D7" i="4"/>
  <c r="E22" i="4"/>
  <c r="F22" i="4"/>
  <c r="G22" i="4"/>
  <c r="F18" i="4"/>
  <c r="F17" i="4"/>
  <c r="F11" i="4"/>
  <c r="E11" i="4"/>
  <c r="G45" i="4"/>
  <c r="G46" i="4" s="1"/>
  <c r="G43" i="4"/>
  <c r="E43" i="4"/>
  <c r="E42" i="4"/>
  <c r="E45" i="4" s="1"/>
  <c r="E39" i="4"/>
  <c r="I33" i="4"/>
  <c r="G32" i="4"/>
  <c r="I32" i="4" s="1"/>
  <c r="E27" i="4"/>
  <c r="D30" i="4"/>
  <c r="G19" i="4"/>
  <c r="E19" i="4"/>
  <c r="E18" i="4"/>
  <c r="F16" i="4"/>
  <c r="F15" i="4"/>
  <c r="E14" i="4"/>
  <c r="E13" i="4"/>
  <c r="E12" i="4"/>
  <c r="C9" i="4"/>
  <c r="D26" i="4" s="1"/>
  <c r="E26" i="4" s="1"/>
  <c r="E29" i="4" s="1"/>
  <c r="F7" i="4"/>
  <c r="E7" i="4"/>
  <c r="F6" i="4"/>
  <c r="D6" i="4"/>
  <c r="E6" i="4" s="1"/>
  <c r="F5" i="4"/>
  <c r="D5" i="4"/>
  <c r="E5" i="4" s="1"/>
  <c r="G4" i="4"/>
  <c r="F4" i="4"/>
  <c r="D4" i="4"/>
  <c r="E4" i="4" s="1"/>
  <c r="G3" i="4"/>
  <c r="E3" i="4"/>
  <c r="D3" i="4"/>
  <c r="D2" i="4"/>
  <c r="D44" i="4" l="1"/>
  <c r="D45" i="4" s="1"/>
  <c r="D9" i="4"/>
  <c r="G6" i="4"/>
  <c r="F9" i="4"/>
  <c r="G5" i="4"/>
  <c r="G9" i="4" s="1"/>
  <c r="E35" i="4" s="1"/>
  <c r="E30" i="4"/>
  <c r="E32" i="4" s="1"/>
  <c r="E36" i="4" s="1"/>
  <c r="E26" i="5" s="1"/>
  <c r="E29" i="5" s="1"/>
  <c r="E28" i="6" s="1"/>
  <c r="E31" i="6" s="1"/>
  <c r="E47" i="4"/>
  <c r="E2" i="4"/>
  <c r="E9" i="4" s="1"/>
  <c r="D31" i="4"/>
  <c r="D32" i="4" s="1"/>
  <c r="L15" i="3"/>
  <c r="L14" i="3"/>
  <c r="D42" i="3" l="1"/>
  <c r="E33" i="3"/>
  <c r="E28" i="3"/>
  <c r="D9" i="3"/>
  <c r="E9" i="3"/>
  <c r="F9" i="3"/>
  <c r="G9" i="3"/>
  <c r="G3" i="3"/>
  <c r="D2" i="3"/>
  <c r="E2" i="3" s="1"/>
  <c r="D3" i="3"/>
  <c r="E3" i="3" l="1"/>
  <c r="G4" i="3"/>
  <c r="D29" i="3"/>
  <c r="D28" i="3"/>
  <c r="D25" i="2"/>
  <c r="D24" i="2"/>
  <c r="C24" i="2"/>
  <c r="D17" i="2"/>
  <c r="C17" i="2"/>
  <c r="D16" i="2"/>
  <c r="D14" i="2"/>
  <c r="E14" i="2" s="1"/>
  <c r="E13" i="2"/>
  <c r="D13" i="2"/>
  <c r="G13" i="2" s="1"/>
  <c r="F12" i="2"/>
  <c r="F11" i="2"/>
  <c r="F17" i="2" s="1"/>
  <c r="E10" i="2"/>
  <c r="D10" i="2"/>
  <c r="E9" i="2"/>
  <c r="D9" i="2"/>
  <c r="E8" i="2"/>
  <c r="D8" i="2"/>
  <c r="E7" i="2"/>
  <c r="D7" i="2"/>
  <c r="E12" i="3"/>
  <c r="E20" i="3" s="1"/>
  <c r="E13" i="3"/>
  <c r="E14" i="3"/>
  <c r="F15" i="3"/>
  <c r="F16" i="3"/>
  <c r="F20" i="3" s="1"/>
  <c r="E17" i="3"/>
  <c r="E19" i="3"/>
  <c r="G19" i="3"/>
  <c r="C20" i="3"/>
  <c r="D20" i="3"/>
  <c r="G20" i="3"/>
  <c r="D24" i="3"/>
  <c r="G5" i="3"/>
  <c r="G6" i="3"/>
  <c r="D7" i="3"/>
  <c r="E7" i="3" s="1"/>
  <c r="G43" i="3"/>
  <c r="G44" i="3" s="1"/>
  <c r="G41" i="3"/>
  <c r="E40" i="3"/>
  <c r="E37" i="3"/>
  <c r="I31" i="3"/>
  <c r="G30" i="3"/>
  <c r="I30" i="3" s="1"/>
  <c r="E25" i="3"/>
  <c r="F6" i="3"/>
  <c r="D6" i="3"/>
  <c r="E6" i="3" s="1"/>
  <c r="F5" i="3"/>
  <c r="E5" i="3"/>
  <c r="D5" i="3"/>
  <c r="F4" i="3"/>
  <c r="D4" i="3"/>
  <c r="E4" i="3" s="1"/>
  <c r="E24" i="3" l="1"/>
  <c r="E16" i="2"/>
  <c r="E17" i="2" s="1"/>
  <c r="G16" i="2"/>
  <c r="G17" i="2" s="1"/>
  <c r="D30" i="3"/>
  <c r="E41" i="3"/>
  <c r="E43" i="3" s="1"/>
  <c r="E45" i="3" s="1"/>
  <c r="D43" i="3"/>
  <c r="G39" i="2"/>
  <c r="G40" i="2" s="1"/>
  <c r="G37" i="2"/>
  <c r="D37" i="2"/>
  <c r="E37" i="2" s="1"/>
  <c r="E39" i="2" s="1"/>
  <c r="E41" i="2" s="1"/>
  <c r="C5" i="2"/>
  <c r="E36" i="2"/>
  <c r="E33" i="2"/>
  <c r="I27" i="2"/>
  <c r="G26" i="2"/>
  <c r="I26" i="2" s="1"/>
  <c r="E21" i="2"/>
  <c r="H5" i="2"/>
  <c r="E20" i="2"/>
  <c r="E23" i="2" s="1"/>
  <c r="F4" i="2"/>
  <c r="D4" i="2"/>
  <c r="E4" i="2" s="1"/>
  <c r="F3" i="2"/>
  <c r="F5" i="2" s="1"/>
  <c r="D3" i="2"/>
  <c r="F2" i="2"/>
  <c r="D2" i="2"/>
  <c r="G2" i="2" s="1"/>
  <c r="G5" i="2" s="1"/>
  <c r="E29" i="2" s="1"/>
  <c r="E31" i="2" s="1"/>
  <c r="E27" i="3" l="1"/>
  <c r="E30" i="3" s="1"/>
  <c r="E35" i="3" s="1"/>
  <c r="E34" i="4" s="1"/>
  <c r="E37" i="4" s="1"/>
  <c r="D5" i="2"/>
  <c r="D38" i="2"/>
  <c r="D39" i="2" s="1"/>
  <c r="E2" i="2"/>
  <c r="E3" i="2"/>
  <c r="E16" i="1"/>
  <c r="F16" i="1"/>
  <c r="G16" i="1"/>
  <c r="D16" i="1"/>
  <c r="D36" i="1" s="1"/>
  <c r="D22" i="1"/>
  <c r="H16" i="1"/>
  <c r="F14" i="1"/>
  <c r="G14" i="1" s="1"/>
  <c r="G13" i="1"/>
  <c r="G12" i="1"/>
  <c r="F11" i="1"/>
  <c r="G11" i="1" s="1"/>
  <c r="G10" i="1"/>
  <c r="F10" i="1"/>
  <c r="F9" i="1"/>
  <c r="G9" i="1" s="1"/>
  <c r="G8" i="1"/>
  <c r="E29" i="6" l="1"/>
  <c r="E32" i="6" s="1"/>
  <c r="E31" i="8" s="1"/>
  <c r="E34" i="8" s="1"/>
  <c r="E33" i="9" s="1"/>
  <c r="E36" i="9" s="1"/>
  <c r="E27" i="5"/>
  <c r="E30" i="5" s="1"/>
  <c r="E5" i="2"/>
  <c r="D26" i="2"/>
  <c r="D23" i="1"/>
  <c r="E29" i="10" l="1"/>
  <c r="E32" i="10" s="1"/>
  <c r="E34" i="13"/>
  <c r="E37" i="13" s="1"/>
  <c r="E31" i="11"/>
  <c r="E34" i="11" s="1"/>
  <c r="E33" i="12" s="1"/>
  <c r="E36" i="12" s="1"/>
  <c r="E24" i="2"/>
  <c r="E26" i="2" s="1"/>
  <c r="E30" i="2" s="1"/>
  <c r="E35" i="1"/>
  <c r="E34" i="1"/>
  <c r="E37" i="1" s="1"/>
  <c r="F29" i="1"/>
  <c r="I25" i="1"/>
  <c r="G24" i="1"/>
  <c r="I24" i="1" s="1"/>
  <c r="E19" i="1"/>
  <c r="E31" i="1"/>
  <c r="E39" i="1" s="1"/>
  <c r="H5" i="1"/>
  <c r="C5" i="1"/>
  <c r="E18" i="1" s="1"/>
  <c r="E21" i="1" s="1"/>
  <c r="F4" i="1"/>
  <c r="D4" i="1"/>
  <c r="E4" i="1" s="1"/>
  <c r="F3" i="1"/>
  <c r="D3" i="1"/>
  <c r="F2" i="1"/>
  <c r="D2" i="1"/>
  <c r="E2" i="1" s="1"/>
  <c r="G2" i="1" l="1"/>
  <c r="D37" i="1"/>
  <c r="F5" i="1"/>
  <c r="G5" i="1"/>
  <c r="E27" i="1" s="1"/>
  <c r="D5" i="1"/>
  <c r="E3" i="1"/>
  <c r="E5" i="1" s="1"/>
  <c r="E22" i="1"/>
  <c r="E24" i="1" s="1"/>
  <c r="D24" i="1"/>
  <c r="E29" i="1" l="1"/>
</calcChain>
</file>

<file path=xl/sharedStrings.xml><?xml version="1.0" encoding="utf-8"?>
<sst xmlns="http://schemas.openxmlformats.org/spreadsheetml/2006/main" count="719" uniqueCount="253">
  <si>
    <t>FACTURA No.</t>
  </si>
  <si>
    <t>RENTA</t>
  </si>
  <si>
    <t>IVA</t>
  </si>
  <si>
    <t>PROV</t>
  </si>
  <si>
    <t>COMPRAS</t>
  </si>
  <si>
    <t>CNT</t>
  </si>
  <si>
    <t>AGENCIA REGULACION Y CONTROL</t>
  </si>
  <si>
    <t>REGISTRO MERCANTIL</t>
  </si>
  <si>
    <t>ENERGIA ELECTRICA</t>
  </si>
  <si>
    <t>VENTAS</t>
  </si>
  <si>
    <t>IVA ANTERIOR</t>
  </si>
  <si>
    <t>diferencia</t>
  </si>
  <si>
    <t>TOTAL A PAGAR</t>
  </si>
  <si>
    <t>RETENCIONES</t>
  </si>
  <si>
    <t>001-001-000003776</t>
  </si>
  <si>
    <t>001-777-112107195</t>
  </si>
  <si>
    <t>001-777-112211001</t>
  </si>
  <si>
    <t>001-777-112211000</t>
  </si>
  <si>
    <t>001-999-003940388</t>
  </si>
  <si>
    <t>001-999-004053831</t>
  </si>
  <si>
    <t>001-002-000139758</t>
  </si>
  <si>
    <t>1791853849001 </t>
  </si>
  <si>
    <t>001-777-114864993</t>
  </si>
  <si>
    <t>001-777-114155178</t>
  </si>
  <si>
    <t>01-777-114155179</t>
  </si>
  <si>
    <t> 002-001-000013362</t>
  </si>
  <si>
    <t>001-999-004146360</t>
  </si>
  <si>
    <t> 001-001-000003668</t>
  </si>
  <si>
    <t>ASISTENCIA TECNICA CORAPE</t>
  </si>
  <si>
    <t>001-002-000143226</t>
  </si>
  <si>
    <t>NOTARIA</t>
  </si>
  <si>
    <t>001-999-004260271</t>
  </si>
  <si>
    <t>001-001-000007542</t>
  </si>
  <si>
    <t>HOSTING ANUAL</t>
  </si>
  <si>
    <t>0460000130001 </t>
  </si>
  <si>
    <t> 001-777-116477534</t>
  </si>
  <si>
    <t>001-777-116477533</t>
  </si>
  <si>
    <t> 001-777-116852164</t>
  </si>
  <si>
    <t>001-999-004353463</t>
  </si>
  <si>
    <t>001-002-000146425</t>
  </si>
  <si>
    <t>001-999-004464876</t>
  </si>
  <si>
    <t>537-534</t>
  </si>
  <si>
    <t>03-04-19</t>
  </si>
  <si>
    <t> 002-007-000013056</t>
  </si>
  <si>
    <t>COMISION FACTURAS</t>
  </si>
  <si>
    <t> 001-777-118747567</t>
  </si>
  <si>
    <t>001-777-118747568</t>
  </si>
  <si>
    <t>001-002-000014632</t>
  </si>
  <si>
    <t>SERVICIO A PROVEEDORES</t>
  </si>
  <si>
    <t> 001-002-000014641</t>
  </si>
  <si>
    <t> 001-002-000014642</t>
  </si>
  <si>
    <t>001-002-000149584</t>
  </si>
  <si>
    <t>001-999-004563229</t>
  </si>
  <si>
    <t>001-999-004678874</t>
  </si>
  <si>
    <t>1792617197001 </t>
  </si>
  <si>
    <t>0401058110</t>
  </si>
  <si>
    <t>0460020080001</t>
  </si>
  <si>
    <t> 001-777-121058488</t>
  </si>
  <si>
    <t>001-777-121058487</t>
  </si>
  <si>
    <t>001-777-121486015</t>
  </si>
  <si>
    <t>001-999-004773012</t>
  </si>
  <si>
    <t>EMELNORTE</t>
  </si>
  <si>
    <t>001-999-004887551</t>
  </si>
  <si>
    <t>001-002-000152861</t>
  </si>
  <si>
    <t>1790709671001 </t>
  </si>
  <si>
    <t> 001-777-123621801</t>
  </si>
  <si>
    <t>001-777-124071706</t>
  </si>
  <si>
    <t> 001-999-004982868</t>
  </si>
  <si>
    <t> 001-002-000156184</t>
  </si>
  <si>
    <t> 001-999-005090510</t>
  </si>
  <si>
    <t> 001-002-000000017</t>
  </si>
  <si>
    <t>541-542-543-548</t>
  </si>
  <si>
    <t>TOTAL</t>
  </si>
  <si>
    <t>IESS</t>
  </si>
  <si>
    <t>1792617197001</t>
  </si>
  <si>
    <t>001-777-126274868</t>
  </si>
  <si>
    <t> 001-777-126274869</t>
  </si>
  <si>
    <t> 001-777-125765660</t>
  </si>
  <si>
    <t>001-002-000159407</t>
  </si>
  <si>
    <t>001-999-005192381</t>
  </si>
  <si>
    <t> 001-999-005307364</t>
  </si>
  <si>
    <t>001-002-000016489</t>
  </si>
  <si>
    <t>TRAMITE ADINISTRATIVO</t>
  </si>
  <si>
    <t>001-002-000016488</t>
  </si>
  <si>
    <t>001-008-000146297</t>
  </si>
  <si>
    <t>001-008-000146296</t>
  </si>
  <si>
    <t>001-777-128277900</t>
  </si>
  <si>
    <t>001-777-127864645</t>
  </si>
  <si>
    <t>001-777-127864646</t>
  </si>
  <si>
    <t>001-002-000016779</t>
  </si>
  <si>
    <t>001-002-000162779</t>
  </si>
  <si>
    <t>001-999-005407401</t>
  </si>
  <si>
    <t>001-002-000016884</t>
  </si>
  <si>
    <t>001-999-005544914</t>
  </si>
  <si>
    <t>STREMING ANUAL</t>
  </si>
  <si>
    <t>001-001-000007880</t>
  </si>
  <si>
    <t>PUBICIDAD</t>
  </si>
  <si>
    <t>PUVBLICIDAD</t>
  </si>
  <si>
    <t>1790709671001</t>
  </si>
  <si>
    <t>001-777-130703326</t>
  </si>
  <si>
    <t>001-777-130703327</t>
  </si>
  <si>
    <t> 001-777-130302813</t>
  </si>
  <si>
    <t>001-002-000017338</t>
  </si>
  <si>
    <t>001-002-000166153</t>
  </si>
  <si>
    <t>001-999-005659412</t>
  </si>
  <si>
    <t>001-999-005797574</t>
  </si>
  <si>
    <t>0400919866001</t>
  </si>
  <si>
    <t>SUMINISTROS Y MATERIALES</t>
  </si>
  <si>
    <t>002-001-000015222</t>
  </si>
  <si>
    <t>001-777-132289555</t>
  </si>
  <si>
    <t>001-777-132289554</t>
  </si>
  <si>
    <t>001-777-132830940</t>
  </si>
  <si>
    <t> 001-999-005910768</t>
  </si>
  <si>
    <t>001-002-000169525</t>
  </si>
  <si>
    <t>001-999-006050683</t>
  </si>
  <si>
    <t>001-200-000017890</t>
  </si>
  <si>
    <t>AUTORES Y COMPOSITORES</t>
  </si>
  <si>
    <t>001-200-000017889</t>
  </si>
  <si>
    <t>001-008-000147822</t>
  </si>
  <si>
    <t>001-001-6291</t>
  </si>
  <si>
    <t>001-001-8028</t>
  </si>
  <si>
    <t>streming anual</t>
  </si>
  <si>
    <t>04600001300001</t>
  </si>
  <si>
    <t>0460001020001</t>
  </si>
  <si>
    <t>1792372054001</t>
  </si>
  <si>
    <t>601-602-605-606-611</t>
  </si>
  <si>
    <t>601-602-605-606-609-611</t>
  </si>
  <si>
    <t>001-777-134747040</t>
  </si>
  <si>
    <t> 001-777-134829501</t>
  </si>
  <si>
    <t>001-777-134829500</t>
  </si>
  <si>
    <t> 001-999-006166063</t>
  </si>
  <si>
    <t>001-008-000148334</t>
  </si>
  <si>
    <t>PUBLICIDAD</t>
  </si>
  <si>
    <t>001-002-000172875</t>
  </si>
  <si>
    <t>001-999-006305475</t>
  </si>
  <si>
    <t xml:space="preserve">CEDULA </t>
  </si>
  <si>
    <t>NOMBRES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</si>
  <si>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</si>
  <si>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</si>
  <si>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</si>
  <si>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</si>
  <si>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</si>
  <si>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</si>
  <si>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</si>
  <si>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</si>
  <si>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</si>
  <si>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</si>
  <si>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</si>
  <si>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</si>
  <si>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APORTE PATRONAL </t>
  </si>
  <si>
    <t>FONDOS DE RESERVA</t>
  </si>
  <si>
    <t xml:space="preserve"> Décimocuarta </t>
  </si>
  <si>
    <t xml:space="preserve"> Décimotercero</t>
  </si>
  <si>
    <t>UTILIDADES</t>
  </si>
  <si>
    <t>APORTE PERSONAL</t>
  </si>
  <si>
    <t>CASTILLO PALACIOS EDISON FERNANDO</t>
  </si>
  <si>
    <t>001-777-136670117</t>
  </si>
  <si>
    <t>001-777-136670118</t>
  </si>
  <si>
    <t>001-777-137323439</t>
  </si>
  <si>
    <t>001-999-006421244</t>
  </si>
  <si>
    <t>001-002-000176205</t>
  </si>
  <si>
    <t>001-001-000003743</t>
  </si>
  <si>
    <t>AFILIACION CORAPE</t>
  </si>
  <si>
    <t>001-999-006560970</t>
  </si>
  <si>
    <t>001-002-000018763</t>
  </si>
  <si>
    <t>001-008-000149191</t>
  </si>
  <si>
    <t>01/06/2019</t>
  </si>
  <si>
    <t>FECHA</t>
  </si>
  <si>
    <t>FACTURA</t>
  </si>
  <si>
    <t>SUBTOTAL</t>
  </si>
  <si>
    <t>GASTO</t>
  </si>
  <si>
    <t>SERVICIOS A PROVEEDORES</t>
  </si>
  <si>
    <t>INGRESOS</t>
  </si>
  <si>
    <t>INFORMACION FISCAL</t>
  </si>
  <si>
    <t>OTROS GASTOS</t>
  </si>
  <si>
    <t>COMISION PUBLICIDAD</t>
  </si>
  <si>
    <t>IMPUESTOS Y CONTRIBUCIONES</t>
  </si>
  <si>
    <t>SERVICIOS PUBLICOS</t>
  </si>
  <si>
    <t>EQUIPOS DE COMUNICACIÓN</t>
  </si>
  <si>
    <t>VALOR DE DEPRECIACION</t>
  </si>
  <si>
    <t>HUACA</t>
  </si>
  <si>
    <t>DESCRIPCION</t>
  </si>
  <si>
    <t>CANT</t>
  </si>
  <si>
    <t>VALOR</t>
  </si>
  <si>
    <t>Consola</t>
  </si>
  <si>
    <t>enlace</t>
  </si>
  <si>
    <t xml:space="preserve">Microfonos </t>
  </si>
  <si>
    <t>Modem</t>
  </si>
  <si>
    <t>Plato Satélite</t>
  </si>
  <si>
    <t>Teléfono Fax</t>
  </si>
  <si>
    <t>Radio</t>
  </si>
  <si>
    <t>Casetera</t>
  </si>
  <si>
    <t>TROYA</t>
  </si>
  <si>
    <t>Antena</t>
  </si>
  <si>
    <t>Trasmisor</t>
  </si>
  <si>
    <t>Torre</t>
  </si>
  <si>
    <t>TULCAN</t>
  </si>
  <si>
    <t>COMUNICACIÓN Y CULTURA COMCUL CIA LTDA</t>
  </si>
  <si>
    <t>BALANCE GENERAL</t>
  </si>
  <si>
    <t>ESTADO DE RESULTADOS</t>
  </si>
  <si>
    <t>ACTIVO</t>
  </si>
  <si>
    <t>ACTIVOS CORRIENTES</t>
  </si>
  <si>
    <t>INGRESOS OPERATIVOS</t>
  </si>
  <si>
    <t>CAJA BANCOS</t>
  </si>
  <si>
    <t xml:space="preserve">Venta </t>
  </si>
  <si>
    <t>TOTAL INGRESOS</t>
  </si>
  <si>
    <t>CUENTAS POR COBRAR</t>
  </si>
  <si>
    <t>Clientes</t>
  </si>
  <si>
    <t>COSTOS Y GASTOS</t>
  </si>
  <si>
    <t>TOTAL ACTIVOS CORRIENTES</t>
  </si>
  <si>
    <t>REMUNERACIONES</t>
  </si>
  <si>
    <t>SUELDOS Y SALARIOS</t>
  </si>
  <si>
    <t>ACTIVOS FIJOS</t>
  </si>
  <si>
    <t>Equipos de Computo</t>
  </si>
  <si>
    <t>BENEFICIOS SOCIALES</t>
  </si>
  <si>
    <t>Muebles de Oficina</t>
  </si>
  <si>
    <t>Equipos de Comunicación</t>
  </si>
  <si>
    <t>GASTOS OPERACIONALES</t>
  </si>
  <si>
    <t xml:space="preserve">Deterioro de Equipos </t>
  </si>
  <si>
    <t xml:space="preserve">Depreciacion </t>
  </si>
  <si>
    <t>SERVICIOS BASICOS</t>
  </si>
  <si>
    <t>TOTAL ACTIVOS FIJOS</t>
  </si>
  <si>
    <t>GASTOS ADMINISTRATIVOS</t>
  </si>
  <si>
    <t>TOTAL ACTIVOS</t>
  </si>
  <si>
    <t>SUMINISTROS DE OFICINA</t>
  </si>
  <si>
    <t>OTRAS CONTRIBUCIONES</t>
  </si>
  <si>
    <t>PASIVOS</t>
  </si>
  <si>
    <t>Impuesto a la Renta x Pagar</t>
  </si>
  <si>
    <t>Depreciacion Equipos</t>
  </si>
  <si>
    <t>15% Utilidad a Trabajadores x Pagar</t>
  </si>
  <si>
    <t>IESS POR PAGAR</t>
  </si>
  <si>
    <t>TOTAL PASIVO</t>
  </si>
  <si>
    <t xml:space="preserve">TOTAL GASTOS </t>
  </si>
  <si>
    <t>PATRIMONIO</t>
  </si>
  <si>
    <t>Aporte de Socios</t>
  </si>
  <si>
    <t>UTILIDAD DEL EJERCICIO</t>
  </si>
  <si>
    <t>Aporte futuras capitalizaciones</t>
  </si>
  <si>
    <t>PERDIDA Acumulada</t>
  </si>
  <si>
    <t>15% Utilidades</t>
  </si>
  <si>
    <t>utilidad Acumulada</t>
  </si>
  <si>
    <t>Utilidad del Periodo</t>
  </si>
  <si>
    <t>UTILIDAD NETA</t>
  </si>
  <si>
    <t xml:space="preserve">TOTAL PATRIMONIO  </t>
  </si>
  <si>
    <t>Amortización Perdida  año 2017</t>
  </si>
  <si>
    <t xml:space="preserve">Base Imponible </t>
  </si>
  <si>
    <t>TOTAL PATRIMONIO MAS CAPITAL</t>
  </si>
  <si>
    <t>IMPUESTO A LA RENTA</t>
  </si>
  <si>
    <t xml:space="preserve">RETENCIONES </t>
  </si>
  <si>
    <t>HACER RETENCION</t>
  </si>
  <si>
    <t>OTROS INGRESOS</t>
  </si>
  <si>
    <t>2/5 AÑOS</t>
  </si>
  <si>
    <t>AL 31 DE DICIEMBRE DEL 2019</t>
  </si>
  <si>
    <t>CREDITO TRIBUTARIO EN BALANCE 2020 PONER COMO CREDITO TRIBUTARIO IMPUESTO A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</si>
</sst>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0000000"/>
    <numFmt numFmtId="165" formatCode="&quot;$&quot;\ #,##0.00"/>
    <numFmt numFmtId="166" formatCode="#0.00;\-#0.00"/>
    <numFmt numFmtId="167" formatCode="[$$-300A]\ #,##0.00"/>
    <numFmt numFmtId="168" formatCode="0.000"/>
  </numFmts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4F4F4F"/>
      <name val="Roboto"/>
    </font>
    <font>
      <b/>
      <sz val="10"/>
      <color theme="1"/>
      <name val="Arial"/>
      <family val="2"/>
    </font>
    <font>
      <sz val="10"/>
      <color rgb="FF4F4F4F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4F4F4F"/>
      <name val="Roboto"/>
    </font>
    <font>
      <sz val="11"/>
      <color rgb="FF333333"/>
      <name val="Arial"/>
      <family val="2"/>
    </font>
    <font>
      <sz val="7"/>
      <color indexed="8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sz val="12"/>
      <color theme="1"/>
      <name val="Baskerville Old Face"/>
      <family val="1"/>
    </font>
    <font>
      <sz val="11"/>
      <color theme="1"/>
      <name val="Baskerville Old Face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Fill="1"/>
    <xf numFmtId="2" fontId="1" fillId="0" borderId="0" xfId="0" applyNumberFormat="1" applyFont="1" applyFill="1"/>
    <xf numFmtId="2" fontId="1" fillId="0" borderId="0" xfId="0" applyNumberFormat="1" applyFont="1"/>
    <xf numFmtId="49" fontId="2" fillId="0" borderId="0" xfId="0" applyNumberFormat="1" applyFont="1"/>
    <xf numFmtId="0" fontId="1" fillId="2" borderId="0" xfId="0" applyFont="1" applyFill="1"/>
    <xf numFmtId="2" fontId="1" fillId="2" borderId="0" xfId="0" applyNumberFormat="1" applyFont="1" applyFill="1"/>
    <xf numFmtId="2" fontId="0" fillId="0" borderId="0" xfId="0" applyNumberFormat="1"/>
    <xf numFmtId="14" fontId="1" fillId="0" borderId="0" xfId="0" applyNumberFormat="1" applyFont="1"/>
    <xf numFmtId="2" fontId="3" fillId="2" borderId="0" xfId="0" applyNumberFormat="1" applyFont="1" applyFill="1"/>
    <xf numFmtId="2" fontId="3" fillId="0" borderId="0" xfId="0" applyNumberFormat="1" applyFont="1"/>
    <xf numFmtId="0" fontId="1" fillId="3" borderId="0" xfId="0" applyFont="1" applyFill="1"/>
    <xf numFmtId="14" fontId="4" fillId="0" borderId="0" xfId="0" applyNumberFormat="1" applyFont="1"/>
    <xf numFmtId="0" fontId="5" fillId="0" borderId="0" xfId="0" applyFont="1" applyFill="1"/>
    <xf numFmtId="0" fontId="5" fillId="2" borderId="0" xfId="0" applyFont="1" applyFill="1"/>
    <xf numFmtId="2" fontId="6" fillId="0" borderId="0" xfId="0" applyNumberFormat="1" applyFont="1" applyFill="1"/>
    <xf numFmtId="0" fontId="2" fillId="0" borderId="0" xfId="0" applyFont="1"/>
    <xf numFmtId="2" fontId="5" fillId="0" borderId="0" xfId="0" applyNumberFormat="1" applyFont="1" applyFill="1"/>
    <xf numFmtId="14" fontId="0" fillId="0" borderId="0" xfId="0" applyNumberFormat="1"/>
    <xf numFmtId="2" fontId="5" fillId="2" borderId="0" xfId="0" applyNumberFormat="1" applyFont="1" applyFill="1"/>
    <xf numFmtId="0" fontId="7" fillId="0" borderId="0" xfId="0" applyFont="1"/>
    <xf numFmtId="4" fontId="0" fillId="0" borderId="0" xfId="0" applyNumberFormat="1"/>
    <xf numFmtId="49" fontId="8" fillId="0" borderId="0" xfId="0" applyNumberFormat="1" applyFont="1"/>
    <xf numFmtId="0" fontId="2" fillId="2" borderId="0" xfId="0" applyFont="1" applyFill="1"/>
    <xf numFmtId="0" fontId="0" fillId="2" borderId="0" xfId="0" applyFill="1"/>
    <xf numFmtId="0" fontId="0" fillId="0" borderId="0" xfId="0" applyFill="1"/>
    <xf numFmtId="0" fontId="8" fillId="0" borderId="0" xfId="0" applyFont="1"/>
    <xf numFmtId="49" fontId="0" fillId="0" borderId="0" xfId="0" applyNumberFormat="1" applyFill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2" borderId="0" xfId="0" applyNumberFormat="1" applyFont="1" applyFill="1" applyAlignment="1">
      <alignment horizontal="right" vertical="center" wrapText="1"/>
    </xf>
    <xf numFmtId="164" fontId="9" fillId="0" borderId="0" xfId="0" applyNumberFormat="1" applyFont="1" applyAlignment="1">
      <alignment horizontal="left" vertical="center" wrapText="1"/>
    </xf>
    <xf numFmtId="14" fontId="1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0" fontId="12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2" fontId="3" fillId="0" borderId="3" xfId="0" applyNumberFormat="1" applyFont="1" applyFill="1" applyBorder="1"/>
    <xf numFmtId="14" fontId="3" fillId="4" borderId="0" xfId="0" applyNumberFormat="1" applyFont="1" applyFill="1"/>
    <xf numFmtId="0" fontId="1" fillId="4" borderId="0" xfId="0" applyFont="1" applyFill="1"/>
    <xf numFmtId="14" fontId="1" fillId="4" borderId="0" xfId="0" applyNumberFormat="1" applyFont="1" applyFill="1"/>
    <xf numFmtId="2" fontId="1" fillId="4" borderId="0" xfId="0" applyNumberFormat="1" applyFont="1" applyFill="1"/>
    <xf numFmtId="0" fontId="3" fillId="4" borderId="1" xfId="0" applyFont="1" applyFill="1" applyBorder="1"/>
    <xf numFmtId="0" fontId="3" fillId="4" borderId="2" xfId="0" applyFont="1" applyFill="1" applyBorder="1"/>
    <xf numFmtId="2" fontId="3" fillId="4" borderId="3" xfId="0" applyNumberFormat="1" applyFont="1" applyFill="1" applyBorder="1"/>
    <xf numFmtId="0" fontId="1" fillId="5" borderId="0" xfId="0" applyFont="1" applyFill="1"/>
    <xf numFmtId="14" fontId="1" fillId="5" borderId="0" xfId="0" applyNumberFormat="1" applyFont="1" applyFill="1"/>
    <xf numFmtId="2" fontId="1" fillId="5" borderId="0" xfId="0" applyNumberFormat="1" applyFont="1" applyFill="1"/>
    <xf numFmtId="49" fontId="1" fillId="5" borderId="0" xfId="0" applyNumberFormat="1" applyFont="1" applyFill="1" applyAlignment="1">
      <alignment horizontal="right"/>
    </xf>
    <xf numFmtId="0" fontId="3" fillId="5" borderId="1" xfId="0" applyFont="1" applyFill="1" applyBorder="1"/>
    <xf numFmtId="0" fontId="3" fillId="5" borderId="2" xfId="0" applyFont="1" applyFill="1" applyBorder="1"/>
    <xf numFmtId="2" fontId="3" fillId="5" borderId="3" xfId="0" applyNumberFormat="1" applyFont="1" applyFill="1" applyBorder="1"/>
    <xf numFmtId="0" fontId="1" fillId="6" borderId="0" xfId="0" applyFont="1" applyFill="1"/>
    <xf numFmtId="14" fontId="1" fillId="6" borderId="0" xfId="0" applyNumberFormat="1" applyFont="1" applyFill="1"/>
    <xf numFmtId="49" fontId="1" fillId="6" borderId="0" xfId="0" applyNumberFormat="1" applyFont="1" applyFill="1"/>
    <xf numFmtId="2" fontId="1" fillId="6" borderId="0" xfId="0" applyNumberFormat="1" applyFont="1" applyFill="1"/>
    <xf numFmtId="0" fontId="3" fillId="6" borderId="1" xfId="0" applyFont="1" applyFill="1" applyBorder="1"/>
    <xf numFmtId="0" fontId="3" fillId="6" borderId="2" xfId="0" applyFont="1" applyFill="1" applyBorder="1"/>
    <xf numFmtId="2" fontId="3" fillId="6" borderId="3" xfId="0" applyNumberFormat="1" applyFont="1" applyFill="1" applyBorder="1"/>
    <xf numFmtId="0" fontId="1" fillId="7" borderId="0" xfId="0" applyFont="1" applyFill="1"/>
    <xf numFmtId="14" fontId="1" fillId="7" borderId="0" xfId="0" applyNumberFormat="1" applyFont="1" applyFill="1"/>
    <xf numFmtId="2" fontId="1" fillId="7" borderId="0" xfId="0" applyNumberFormat="1" applyFont="1" applyFill="1"/>
    <xf numFmtId="49" fontId="1" fillId="7" borderId="0" xfId="0" applyNumberFormat="1" applyFont="1" applyFill="1" applyAlignment="1">
      <alignment horizontal="right"/>
    </xf>
    <xf numFmtId="0" fontId="3" fillId="7" borderId="1" xfId="0" applyFont="1" applyFill="1" applyBorder="1"/>
    <xf numFmtId="0" fontId="3" fillId="7" borderId="2" xfId="0" applyFont="1" applyFill="1" applyBorder="1"/>
    <xf numFmtId="2" fontId="3" fillId="7" borderId="3" xfId="0" applyNumberFormat="1" applyFont="1" applyFill="1" applyBorder="1"/>
    <xf numFmtId="0" fontId="3" fillId="7" borderId="0" xfId="0" applyFont="1" applyFill="1" applyBorder="1"/>
    <xf numFmtId="2" fontId="3" fillId="7" borderId="0" xfId="0" applyNumberFormat="1" applyFont="1" applyFill="1" applyBorder="1"/>
    <xf numFmtId="0" fontId="1" fillId="8" borderId="0" xfId="0" applyFont="1" applyFill="1"/>
    <xf numFmtId="14" fontId="1" fillId="8" borderId="0" xfId="0" applyNumberFormat="1" applyFont="1" applyFill="1"/>
    <xf numFmtId="2" fontId="1" fillId="8" borderId="0" xfId="0" applyNumberFormat="1" applyFont="1" applyFill="1"/>
    <xf numFmtId="0" fontId="1" fillId="8" borderId="0" xfId="0" applyFont="1" applyFill="1" applyAlignment="1">
      <alignment horizontal="left"/>
    </xf>
    <xf numFmtId="0" fontId="11" fillId="0" borderId="0" xfId="0" applyFont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3" fillId="0" borderId="0" xfId="0" applyFont="1"/>
    <xf numFmtId="0" fontId="14" fillId="0" borderId="0" xfId="0" applyFont="1"/>
    <xf numFmtId="0" fontId="14" fillId="0" borderId="0" xfId="0" applyFont="1" applyFill="1"/>
    <xf numFmtId="0" fontId="13" fillId="0" borderId="0" xfId="0" applyFont="1" applyFill="1" applyAlignment="1">
      <alignment horizontal="center"/>
    </xf>
    <xf numFmtId="0" fontId="11" fillId="0" borderId="0" xfId="0" applyFont="1" applyFill="1" applyAlignment="1"/>
    <xf numFmtId="0" fontId="15" fillId="0" borderId="0" xfId="0" applyFont="1" applyFill="1"/>
    <xf numFmtId="165" fontId="15" fillId="0" borderId="0" xfId="0" applyNumberFormat="1" applyFont="1" applyFill="1"/>
    <xf numFmtId="4" fontId="0" fillId="0" borderId="0" xfId="0" applyNumberFormat="1" applyFill="1"/>
    <xf numFmtId="0" fontId="11" fillId="0" borderId="0" xfId="0" applyFont="1" applyFill="1"/>
    <xf numFmtId="166" fontId="11" fillId="0" borderId="7" xfId="0" applyNumberFormat="1" applyFont="1" applyFill="1" applyBorder="1"/>
    <xf numFmtId="165" fontId="0" fillId="0" borderId="0" xfId="0" applyNumberFormat="1"/>
    <xf numFmtId="0" fontId="10" fillId="0" borderId="0" xfId="0" applyFont="1"/>
    <xf numFmtId="165" fontId="16" fillId="0" borderId="0" xfId="0" applyNumberFormat="1" applyFont="1" applyFill="1"/>
    <xf numFmtId="2" fontId="11" fillId="0" borderId="0" xfId="0" applyNumberFormat="1" applyFont="1" applyFill="1"/>
    <xf numFmtId="0" fontId="0" fillId="0" borderId="0" xfId="0" applyFont="1" applyFill="1" applyAlignment="1"/>
    <xf numFmtId="4" fontId="0" fillId="0" borderId="0" xfId="0" applyNumberFormat="1" applyFill="1" applyBorder="1"/>
    <xf numFmtId="166" fontId="0" fillId="0" borderId="0" xfId="0" applyNumberFormat="1" applyFill="1" applyAlignment="1">
      <alignment horizontal="right"/>
    </xf>
    <xf numFmtId="166" fontId="0" fillId="0" borderId="7" xfId="0" applyNumberFormat="1" applyFill="1" applyBorder="1" applyAlignment="1">
      <alignment horizontal="right"/>
    </xf>
    <xf numFmtId="165" fontId="15" fillId="0" borderId="0" xfId="0" applyNumberFormat="1" applyFont="1" applyFill="1" applyBorder="1"/>
    <xf numFmtId="166" fontId="0" fillId="0" borderId="0" xfId="0" applyNumberFormat="1" applyFill="1" applyBorder="1" applyAlignment="1">
      <alignment horizontal="right"/>
    </xf>
    <xf numFmtId="2" fontId="0" fillId="0" borderId="0" xfId="0" applyNumberFormat="1" applyFill="1"/>
    <xf numFmtId="166" fontId="11" fillId="0" borderId="0" xfId="0" applyNumberFormat="1" applyFont="1" applyFill="1"/>
    <xf numFmtId="2" fontId="0" fillId="0" borderId="7" xfId="0" applyNumberFormat="1" applyFill="1" applyBorder="1"/>
    <xf numFmtId="0" fontId="11" fillId="0" borderId="4" xfId="0" applyFont="1" applyFill="1" applyBorder="1"/>
    <xf numFmtId="0" fontId="16" fillId="0" borderId="5" xfId="0" applyFont="1" applyFill="1" applyBorder="1"/>
    <xf numFmtId="165" fontId="16" fillId="0" borderId="5" xfId="0" applyNumberFormat="1" applyFont="1" applyFill="1" applyBorder="1"/>
    <xf numFmtId="165" fontId="16" fillId="0" borderId="6" xfId="0" applyNumberFormat="1" applyFont="1" applyFill="1" applyBorder="1"/>
    <xf numFmtId="14" fontId="11" fillId="0" borderId="0" xfId="0" applyNumberFormat="1" applyFont="1" applyFill="1" applyAlignment="1">
      <alignment horizontal="left"/>
    </xf>
    <xf numFmtId="165" fontId="0" fillId="0" borderId="0" xfId="0" applyNumberFormat="1" applyFill="1"/>
    <xf numFmtId="0" fontId="0" fillId="0" borderId="0" xfId="0" applyFill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11" fillId="0" borderId="5" xfId="0" applyFont="1" applyFill="1" applyBorder="1"/>
    <xf numFmtId="165" fontId="11" fillId="0" borderId="6" xfId="0" applyNumberFormat="1" applyFont="1" applyFill="1" applyBorder="1"/>
    <xf numFmtId="0" fontId="0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165" fontId="0" fillId="0" borderId="0" xfId="0" applyNumberFormat="1" applyFont="1" applyFill="1" applyBorder="1"/>
    <xf numFmtId="0" fontId="0" fillId="0" borderId="5" xfId="0" applyBorder="1"/>
    <xf numFmtId="165" fontId="0" fillId="0" borderId="6" xfId="0" applyNumberFormat="1" applyBorder="1"/>
    <xf numFmtId="0" fontId="16" fillId="0" borderId="0" xfId="0" applyFont="1" applyFill="1"/>
    <xf numFmtId="0" fontId="0" fillId="0" borderId="0" xfId="0" applyBorder="1"/>
    <xf numFmtId="165" fontId="0" fillId="0" borderId="0" xfId="0" applyNumberFormat="1" applyBorder="1"/>
    <xf numFmtId="0" fontId="11" fillId="0" borderId="0" xfId="0" applyFont="1" applyBorder="1"/>
    <xf numFmtId="0" fontId="16" fillId="0" borderId="0" xfId="0" applyFont="1" applyFill="1" applyBorder="1"/>
    <xf numFmtId="165" fontId="16" fillId="0" borderId="0" xfId="0" applyNumberFormat="1" applyFont="1" applyFill="1" applyBorder="1"/>
    <xf numFmtId="165" fontId="11" fillId="0" borderId="0" xfId="0" applyNumberFormat="1" applyFont="1"/>
    <xf numFmtId="167" fontId="0" fillId="0" borderId="0" xfId="0" applyNumberFormat="1" applyFill="1"/>
    <xf numFmtId="10" fontId="0" fillId="0" borderId="0" xfId="0" applyNumberFormat="1" applyFill="1"/>
    <xf numFmtId="167" fontId="0" fillId="0" borderId="0" xfId="0" applyNumberFormat="1"/>
    <xf numFmtId="10" fontId="0" fillId="0" borderId="0" xfId="0" applyNumberFormat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2" fontId="0" fillId="2" borderId="0" xfId="0" applyNumberFormat="1" applyFill="1"/>
    <xf numFmtId="2" fontId="0" fillId="2" borderId="7" xfId="0" applyNumberFormat="1" applyFill="1" applyBorder="1"/>
    <xf numFmtId="0" fontId="3" fillId="4" borderId="0" xfId="0" applyFont="1" applyFill="1" applyBorder="1"/>
    <xf numFmtId="2" fontId="3" fillId="4" borderId="0" xfId="0" applyNumberFormat="1" applyFont="1" applyFill="1" applyBorder="1"/>
    <xf numFmtId="0" fontId="3" fillId="4" borderId="0" xfId="0" applyFont="1" applyFill="1"/>
    <xf numFmtId="168" fontId="0" fillId="0" borderId="0" xfId="0" applyNumberFormat="1"/>
    <xf numFmtId="0" fontId="13" fillId="0" borderId="0" xfId="0" applyFont="1" applyFill="1" applyAlignment="1">
      <alignment horizontal="left"/>
    </xf>
    <xf numFmtId="0" fontId="11" fillId="2" borderId="0" xfId="0" applyFont="1" applyFill="1" applyBorder="1"/>
    <xf numFmtId="165" fontId="0" fillId="2" borderId="0" xfId="0" applyNumberFormat="1" applyFill="1"/>
    <xf numFmtId="0" fontId="0" fillId="9" borderId="0" xfId="0" applyFill="1"/>
    <xf numFmtId="2" fontId="0" fillId="9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E\Documents\VICTOR%20M%20OSEJO\2018\comcul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 mayo"/>
      <sheetName val="JUNIO"/>
      <sheetName val="JULIO"/>
      <sheetName val="AGOSTO"/>
      <sheetName val="SEPTIEM"/>
      <sheetName val="OCTUBRE"/>
      <sheetName val="NOVIEMBRE"/>
      <sheetName val="DICIEMBRE"/>
      <sheetName val="resumen"/>
      <sheetName val="PERSONAL"/>
      <sheetName val="DEPRECIACI"/>
      <sheetName val="BALANCES"/>
      <sheetName val="flujo de efectiv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D26">
            <v>313.46999999999997</v>
          </cell>
        </row>
      </sheetData>
      <sheetData sheetId="10">
        <row r="26">
          <cell r="D26">
            <v>304.50892857142856</v>
          </cell>
        </row>
      </sheetData>
      <sheetData sheetId="11">
        <row r="50">
          <cell r="D50">
            <v>1303.69</v>
          </cell>
        </row>
      </sheetData>
      <sheetData sheetId="12"/>
      <sheetData sheetId="13"/>
      <sheetData sheetId="14">
        <row r="22">
          <cell r="C22">
            <v>22550</v>
          </cell>
        </row>
        <row r="33">
          <cell r="C33">
            <v>1207.1399999999999</v>
          </cell>
        </row>
        <row r="38">
          <cell r="C38">
            <v>3500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D13" sqref="D13"/>
    </sheetView>
  </sheetViews>
  <sheetFormatPr baseColWidth="10" defaultRowHeight="15"/>
  <cols>
    <col min="1" max="1" width="15.85546875" customWidth="1"/>
  </cols>
  <sheetData>
    <row r="1" spans="1:10">
      <c r="A1" s="1"/>
      <c r="B1" s="2" t="s">
        <v>0</v>
      </c>
      <c r="C1" s="2"/>
      <c r="D1" s="2"/>
      <c r="E1" s="2"/>
      <c r="F1" s="2" t="s">
        <v>1</v>
      </c>
      <c r="G1" s="2" t="s">
        <v>2</v>
      </c>
      <c r="H1" s="2"/>
    </row>
    <row r="2" spans="1:10">
      <c r="A2" s="18" t="s">
        <v>21</v>
      </c>
      <c r="B2" s="3">
        <v>530</v>
      </c>
      <c r="C2" s="4">
        <v>118.4</v>
      </c>
      <c r="D2" s="5">
        <f t="shared" ref="D2:D4" si="0">+C2*0.12</f>
        <v>14.208</v>
      </c>
      <c r="E2" s="5">
        <f t="shared" ref="E2:E4" si="1">+C2+D2</f>
        <v>132.608</v>
      </c>
      <c r="F2" s="5">
        <f t="shared" ref="F2:F4" si="2">+C2*1%</f>
        <v>1.1840000000000002</v>
      </c>
      <c r="G2" s="5">
        <f>+D2*0.7</f>
        <v>9.9455999999999989</v>
      </c>
      <c r="H2" s="2"/>
    </row>
    <row r="3" spans="1:10">
      <c r="A3" s="6"/>
      <c r="B3" s="7"/>
      <c r="C3" s="8"/>
      <c r="D3" s="5">
        <f t="shared" si="0"/>
        <v>0</v>
      </c>
      <c r="E3" s="5">
        <f t="shared" si="1"/>
        <v>0</v>
      </c>
      <c r="F3" s="5">
        <f t="shared" si="2"/>
        <v>0</v>
      </c>
      <c r="G3" s="5"/>
      <c r="H3" s="2" t="s">
        <v>3</v>
      </c>
    </row>
    <row r="4" spans="1:10">
      <c r="A4" s="6"/>
      <c r="B4" s="3"/>
      <c r="C4" s="4"/>
      <c r="D4" s="5">
        <f t="shared" si="0"/>
        <v>0</v>
      </c>
      <c r="E4" s="5">
        <f t="shared" si="1"/>
        <v>0</v>
      </c>
      <c r="F4" s="5">
        <f t="shared" si="2"/>
        <v>0</v>
      </c>
      <c r="G4" s="5"/>
      <c r="H4" s="2"/>
      <c r="I4" s="6"/>
    </row>
    <row r="5" spans="1:10">
      <c r="A5" s="1"/>
      <c r="B5" s="7"/>
      <c r="C5" s="8">
        <f>SUM(C3:C4)</f>
        <v>0</v>
      </c>
      <c r="D5" s="8">
        <f>SUM(D3:D4)</f>
        <v>0</v>
      </c>
      <c r="E5" s="8">
        <f>SUM(E3:E4)</f>
        <v>0</v>
      </c>
      <c r="F5" s="8">
        <f>SUM(F3:F4)</f>
        <v>0</v>
      </c>
      <c r="G5" s="8">
        <f>SUM(G3:G4)</f>
        <v>0</v>
      </c>
      <c r="H5" s="8">
        <f>SUM(H2:H4)</f>
        <v>0</v>
      </c>
    </row>
    <row r="6" spans="1:10">
      <c r="A6" s="1"/>
      <c r="C6" s="9"/>
      <c r="D6" s="9"/>
      <c r="E6" s="9"/>
      <c r="F6" s="9"/>
    </row>
    <row r="7" spans="1:10">
      <c r="A7" s="1"/>
    </row>
    <row r="8" spans="1:10">
      <c r="A8" s="1"/>
      <c r="B8" s="10">
        <v>43467</v>
      </c>
      <c r="C8" s="13" t="s">
        <v>14</v>
      </c>
      <c r="D8" s="17">
        <v>11</v>
      </c>
      <c r="E8" s="4"/>
      <c r="F8" s="4"/>
      <c r="G8" s="5">
        <f>+D8</f>
        <v>11</v>
      </c>
      <c r="H8" s="2"/>
      <c r="I8" s="2" t="s">
        <v>7</v>
      </c>
      <c r="J8" s="2"/>
    </row>
    <row r="9" spans="1:10">
      <c r="A9" s="1"/>
      <c r="B9" s="10">
        <v>43468</v>
      </c>
      <c r="C9" s="13" t="s">
        <v>15</v>
      </c>
      <c r="D9" s="4"/>
      <c r="E9" s="17">
        <v>95.85</v>
      </c>
      <c r="F9" s="4">
        <f t="shared" ref="F9:F11" si="3">+E9*12%</f>
        <v>11.501999999999999</v>
      </c>
      <c r="G9" s="5">
        <f>+E9+F9</f>
        <v>107.35199999999999</v>
      </c>
      <c r="H9" s="2"/>
      <c r="I9" s="2" t="s">
        <v>5</v>
      </c>
      <c r="J9" s="2"/>
    </row>
    <row r="10" spans="1:10">
      <c r="A10" s="1"/>
      <c r="B10" s="10">
        <v>43471</v>
      </c>
      <c r="C10" s="13" t="s">
        <v>16</v>
      </c>
      <c r="D10" s="4"/>
      <c r="E10" s="17">
        <v>18.149999999999999</v>
      </c>
      <c r="F10" s="4">
        <f t="shared" si="3"/>
        <v>2.1779999999999999</v>
      </c>
      <c r="G10" s="5">
        <f t="shared" ref="G10:G11" si="4">+E10+F10</f>
        <v>20.327999999999999</v>
      </c>
      <c r="H10" s="2"/>
      <c r="I10" s="2" t="s">
        <v>5</v>
      </c>
      <c r="J10" s="2"/>
    </row>
    <row r="11" spans="1:10">
      <c r="A11" s="1"/>
      <c r="B11" s="14">
        <v>43468</v>
      </c>
      <c r="C11" s="13" t="s">
        <v>17</v>
      </c>
      <c r="D11" s="3"/>
      <c r="E11" s="17">
        <v>78.8</v>
      </c>
      <c r="F11" s="4">
        <f t="shared" si="3"/>
        <v>9.4559999999999995</v>
      </c>
      <c r="G11" s="5">
        <f t="shared" si="4"/>
        <v>88.256</v>
      </c>
      <c r="H11" s="2"/>
      <c r="I11" s="2" t="s">
        <v>5</v>
      </c>
      <c r="J11" s="2"/>
    </row>
    <row r="12" spans="1:10">
      <c r="A12" s="1"/>
      <c r="B12" s="10">
        <v>43472</v>
      </c>
      <c r="C12" s="13" t="s">
        <v>18</v>
      </c>
      <c r="D12" s="3">
        <v>95.56</v>
      </c>
      <c r="E12" s="4"/>
      <c r="F12" s="4"/>
      <c r="G12" s="5">
        <f>+D12</f>
        <v>95.56</v>
      </c>
      <c r="H12" s="2"/>
      <c r="I12" s="2" t="s">
        <v>8</v>
      </c>
      <c r="J12" s="2"/>
    </row>
    <row r="13" spans="1:10">
      <c r="A13" s="1"/>
      <c r="B13" s="10">
        <v>43481</v>
      </c>
      <c r="C13" s="13" t="s">
        <v>19</v>
      </c>
      <c r="D13" s="3">
        <v>26.89</v>
      </c>
      <c r="E13" s="4"/>
      <c r="F13" s="4"/>
      <c r="G13" s="5">
        <f>+D13</f>
        <v>26.89</v>
      </c>
      <c r="H13" s="2"/>
      <c r="I13" s="2" t="s">
        <v>8</v>
      </c>
      <c r="J13" s="2"/>
    </row>
    <row r="14" spans="1:10">
      <c r="A14" s="1"/>
      <c r="B14" s="10">
        <v>43474</v>
      </c>
      <c r="C14" s="13" t="s">
        <v>20</v>
      </c>
      <c r="D14" s="3"/>
      <c r="E14" s="4">
        <v>18.11</v>
      </c>
      <c r="F14" s="4">
        <f t="shared" ref="F14" si="5">+E14*12%</f>
        <v>2.1732</v>
      </c>
      <c r="G14" s="5">
        <f t="shared" ref="G14" si="6">+E14+F14</f>
        <v>20.283200000000001</v>
      </c>
      <c r="H14" s="2"/>
      <c r="I14" s="2" t="s">
        <v>6</v>
      </c>
      <c r="J14" s="2"/>
    </row>
    <row r="15" spans="1:10">
      <c r="A15" s="1"/>
      <c r="B15" s="10"/>
      <c r="C15" s="15"/>
      <c r="D15" s="3"/>
      <c r="E15" s="4"/>
      <c r="F15" s="4"/>
      <c r="G15" s="5"/>
      <c r="H15" s="2"/>
      <c r="I15" s="2"/>
      <c r="J15" s="2"/>
    </row>
    <row r="16" spans="1:10">
      <c r="A16" s="1"/>
      <c r="B16" s="10"/>
      <c r="C16" s="16"/>
      <c r="D16" s="11">
        <f>SUM(D8:D15)</f>
        <v>133.44999999999999</v>
      </c>
      <c r="E16" s="11">
        <f t="shared" ref="E16:G16" si="7">SUM(E8:E15)</f>
        <v>210.91000000000003</v>
      </c>
      <c r="F16" s="11">
        <f t="shared" si="7"/>
        <v>25.309200000000001</v>
      </c>
      <c r="G16" s="11">
        <f t="shared" si="7"/>
        <v>369.66919999999999</v>
      </c>
      <c r="H16" s="11">
        <f>SUM(H8:H15)</f>
        <v>0</v>
      </c>
      <c r="I16" s="12"/>
      <c r="J16" s="2"/>
    </row>
    <row r="17" spans="1:9">
      <c r="A17" s="1"/>
    </row>
    <row r="18" spans="1:9">
      <c r="A18" s="1"/>
      <c r="B18" s="2" t="s">
        <v>9</v>
      </c>
      <c r="C18" s="2"/>
      <c r="D18" s="5">
        <f>+C5</f>
        <v>0</v>
      </c>
      <c r="E18" s="5">
        <f>+D18*0.12</f>
        <v>0</v>
      </c>
      <c r="F18" s="2"/>
    </row>
    <row r="19" spans="1:9">
      <c r="A19" s="1"/>
      <c r="B19" s="2"/>
      <c r="C19" s="2"/>
      <c r="D19" s="5"/>
      <c r="E19" s="2">
        <f>+D19*14%</f>
        <v>0</v>
      </c>
      <c r="F19" s="2"/>
    </row>
    <row r="20" spans="1:9">
      <c r="A20" s="1"/>
      <c r="B20" s="2" t="s">
        <v>10</v>
      </c>
      <c r="C20" s="2"/>
      <c r="D20" s="5"/>
      <c r="E20" s="2"/>
      <c r="F20" s="2"/>
    </row>
    <row r="21" spans="1:9">
      <c r="A21" s="1"/>
      <c r="B21" s="2"/>
      <c r="C21" s="2"/>
      <c r="D21" s="5"/>
      <c r="E21" s="12">
        <f>+E18-E19+E20</f>
        <v>0</v>
      </c>
      <c r="F21" s="2"/>
    </row>
    <row r="22" spans="1:9">
      <c r="A22" s="1"/>
      <c r="B22" s="2" t="s">
        <v>4</v>
      </c>
      <c r="C22" s="5"/>
      <c r="D22" s="5">
        <f>+E16</f>
        <v>210.91000000000003</v>
      </c>
      <c r="E22" s="12">
        <f>+D22*0.12</f>
        <v>25.309200000000001</v>
      </c>
      <c r="F22" s="2"/>
    </row>
    <row r="23" spans="1:9">
      <c r="A23" s="1"/>
      <c r="B23" s="2"/>
      <c r="C23" s="5"/>
      <c r="D23" s="5">
        <f>+D16</f>
        <v>133.44999999999999</v>
      </c>
      <c r="E23" s="5"/>
      <c r="F23" s="2"/>
    </row>
    <row r="24" spans="1:9">
      <c r="A24" s="1"/>
      <c r="B24" s="2" t="s">
        <v>11</v>
      </c>
      <c r="C24" s="2"/>
      <c r="D24" s="5">
        <f>+D22+D23</f>
        <v>344.36</v>
      </c>
      <c r="E24" s="5">
        <f>+E21-E22</f>
        <v>-25.309200000000001</v>
      </c>
      <c r="F24" s="2"/>
      <c r="G24" s="9">
        <f>+[1]OCTUBRE!D26+[1]NOVIEMBRE!D26+[1]DICIEMBRE!D50</f>
        <v>1921.6689285714285</v>
      </c>
      <c r="H24">
        <v>1894.46</v>
      </c>
      <c r="I24" s="9">
        <f>+G24-H24</f>
        <v>27.208928571428487</v>
      </c>
    </row>
    <row r="25" spans="1:9">
      <c r="A25" s="1"/>
      <c r="B25" s="2">
        <v>605</v>
      </c>
      <c r="C25" s="2"/>
      <c r="D25" s="2"/>
      <c r="E25" s="5"/>
      <c r="F25" s="2"/>
      <c r="I25">
        <f>579*12.15%</f>
        <v>70.348500000000001</v>
      </c>
    </row>
    <row r="26" spans="1:9">
      <c r="A26" s="1"/>
      <c r="B26" s="2">
        <v>606</v>
      </c>
      <c r="C26" s="2"/>
      <c r="D26" s="2"/>
      <c r="E26" s="5"/>
      <c r="F26" s="2"/>
    </row>
    <row r="27" spans="1:9">
      <c r="A27" s="1"/>
      <c r="B27" s="2">
        <v>609</v>
      </c>
      <c r="C27" s="2"/>
      <c r="D27" s="2"/>
      <c r="E27" s="5">
        <f>-G5</f>
        <v>0</v>
      </c>
      <c r="F27" s="2"/>
    </row>
    <row r="28" spans="1:9">
      <c r="A28" s="1"/>
      <c r="B28" s="2">
        <v>615</v>
      </c>
      <c r="C28" s="2"/>
      <c r="D28" s="2"/>
      <c r="E28" s="9"/>
      <c r="F28" s="5"/>
    </row>
    <row r="29" spans="1:9">
      <c r="A29" s="1"/>
      <c r="B29" s="2">
        <v>617</v>
      </c>
      <c r="C29" s="2"/>
      <c r="D29" s="2"/>
      <c r="E29" s="5">
        <f>+E24+E26+E27</f>
        <v>-25.309200000000001</v>
      </c>
      <c r="F29" s="5">
        <f>98.57-47.01-94.57</f>
        <v>-43.01</v>
      </c>
    </row>
    <row r="30" spans="1:9">
      <c r="A30" s="1"/>
      <c r="B30" s="2"/>
      <c r="C30" s="2"/>
      <c r="D30" s="2"/>
      <c r="E30" s="5"/>
      <c r="F30" s="5"/>
    </row>
    <row r="31" spans="1:9">
      <c r="A31" s="1"/>
      <c r="B31" s="2" t="s">
        <v>12</v>
      </c>
      <c r="C31" s="2"/>
      <c r="D31" s="2"/>
      <c r="E31" s="5">
        <f>+E30</f>
        <v>0</v>
      </c>
      <c r="F31" s="2"/>
    </row>
    <row r="32" spans="1:9">
      <c r="A32" s="1"/>
      <c r="B32" s="2"/>
      <c r="C32" s="2"/>
      <c r="D32" s="2"/>
      <c r="E32" s="2"/>
      <c r="F32" s="2"/>
    </row>
    <row r="33" spans="1:6">
      <c r="A33" s="1"/>
      <c r="B33" s="2" t="s">
        <v>13</v>
      </c>
      <c r="C33" s="5"/>
      <c r="D33" s="2"/>
      <c r="E33" s="5"/>
      <c r="F33" s="2"/>
    </row>
    <row r="34" spans="1:6">
      <c r="A34" s="1"/>
      <c r="B34" s="2"/>
      <c r="C34" s="2">
        <v>303</v>
      </c>
      <c r="D34" s="5"/>
      <c r="E34" s="2">
        <f>+D34*10%</f>
        <v>0</v>
      </c>
      <c r="F34" s="2"/>
    </row>
    <row r="35" spans="1:6">
      <c r="A35" s="1"/>
      <c r="B35" s="2"/>
      <c r="C35" s="2">
        <v>312</v>
      </c>
      <c r="D35" s="5"/>
      <c r="E35" s="2">
        <f>+D35*2%</f>
        <v>0</v>
      </c>
      <c r="F35" s="2"/>
    </row>
    <row r="36" spans="1:6">
      <c r="A36" s="1"/>
      <c r="B36" s="2"/>
      <c r="C36" s="2">
        <v>332</v>
      </c>
      <c r="D36" s="5">
        <f>+D16+E16</f>
        <v>344.36</v>
      </c>
      <c r="E36" s="5"/>
      <c r="F36" s="2"/>
    </row>
    <row r="37" spans="1:6">
      <c r="A37" s="1"/>
      <c r="B37" s="2"/>
      <c r="C37" s="2"/>
      <c r="D37" s="5">
        <f>SUM(D34:D36)</f>
        <v>344.36</v>
      </c>
      <c r="E37" s="2">
        <f>SUM(E34:E36)</f>
        <v>0</v>
      </c>
      <c r="F37" s="2"/>
    </row>
    <row r="38" spans="1:6">
      <c r="A38" s="1"/>
      <c r="B38" s="2"/>
      <c r="C38" s="2"/>
      <c r="D38" s="2"/>
      <c r="E38" s="2"/>
      <c r="F38" s="2"/>
    </row>
    <row r="39" spans="1:6">
      <c r="A39" s="1"/>
      <c r="E39" s="9">
        <f>+E31+E37</f>
        <v>0</v>
      </c>
    </row>
    <row r="40" spans="1:6">
      <c r="A40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B1" workbookViewId="0">
      <selection activeCell="E45" sqref="E45"/>
    </sheetView>
  </sheetViews>
  <sheetFormatPr baseColWidth="10" defaultRowHeight="15"/>
  <cols>
    <col min="1" max="1" width="15.42578125" customWidth="1"/>
  </cols>
  <sheetData>
    <row r="1" spans="1:9">
      <c r="A1" s="1"/>
      <c r="B1" s="2" t="s">
        <v>0</v>
      </c>
      <c r="C1" s="2" t="s">
        <v>71</v>
      </c>
      <c r="D1" s="2"/>
      <c r="E1" s="2"/>
      <c r="F1" s="2" t="s">
        <v>1</v>
      </c>
      <c r="G1" s="2" t="s">
        <v>2</v>
      </c>
      <c r="H1" s="2"/>
    </row>
    <row r="2" spans="1:9">
      <c r="A2" s="6"/>
      <c r="B2" s="2"/>
      <c r="C2" s="28"/>
      <c r="D2" s="5"/>
      <c r="E2" s="5"/>
      <c r="F2" s="2"/>
      <c r="G2" s="5"/>
      <c r="H2" s="5"/>
      <c r="I2" s="9"/>
    </row>
    <row r="3" spans="1:9">
      <c r="A3" s="6" t="s">
        <v>98</v>
      </c>
      <c r="B3" s="2">
        <v>557</v>
      </c>
      <c r="C3" s="4">
        <v>548.52</v>
      </c>
      <c r="D3" s="5">
        <f t="shared" ref="D3" si="0">+C3*0.12</f>
        <v>65.822400000000002</v>
      </c>
      <c r="E3" s="5">
        <f t="shared" ref="E3" si="1">+C3+D3</f>
        <v>614.3424</v>
      </c>
      <c r="F3" s="2">
        <f>+C3*2%</f>
        <v>10.9704</v>
      </c>
      <c r="G3" s="5">
        <f>+D3*70%</f>
        <v>46.075679999999998</v>
      </c>
      <c r="H3" s="5"/>
      <c r="I3" s="9"/>
    </row>
    <row r="4" spans="1:9">
      <c r="A4" s="18"/>
      <c r="B4" s="3"/>
      <c r="C4" s="4"/>
      <c r="D4" s="5"/>
      <c r="E4" s="5"/>
      <c r="F4" s="2"/>
      <c r="G4" s="5"/>
      <c r="H4" s="2"/>
      <c r="I4" s="6"/>
    </row>
    <row r="5" spans="1:9">
      <c r="A5" s="1"/>
      <c r="B5" s="7"/>
      <c r="C5" s="8">
        <f>SUM(C2:C4)</f>
        <v>548.52</v>
      </c>
      <c r="D5" s="8">
        <f>SUM(D2:D4)</f>
        <v>65.822400000000002</v>
      </c>
      <c r="E5" s="8">
        <f>SUM(E2:E4)</f>
        <v>614.3424</v>
      </c>
      <c r="F5" s="8">
        <f>SUM(F2:F4)</f>
        <v>10.9704</v>
      </c>
      <c r="G5" s="8">
        <f>SUM(G2:G4)</f>
        <v>46.075679999999998</v>
      </c>
      <c r="H5" s="8"/>
      <c r="I5" s="8"/>
    </row>
    <row r="6" spans="1:9">
      <c r="A6" s="1"/>
      <c r="C6" s="9"/>
      <c r="D6" s="9"/>
      <c r="E6" s="9"/>
      <c r="F6" s="9"/>
      <c r="I6" s="9"/>
    </row>
    <row r="7" spans="1:9">
      <c r="A7" s="1"/>
      <c r="B7" s="18"/>
      <c r="D7" s="19"/>
      <c r="E7" s="4"/>
      <c r="F7" s="5"/>
      <c r="G7" s="2"/>
    </row>
    <row r="8" spans="1:9">
      <c r="A8" s="10">
        <v>43743</v>
      </c>
      <c r="B8" s="18" t="s">
        <v>109</v>
      </c>
      <c r="C8" s="17"/>
      <c r="D8" s="19">
        <v>14.28</v>
      </c>
      <c r="E8" s="4">
        <f>+D8*12%</f>
        <v>1.7135999999999998</v>
      </c>
      <c r="F8" s="5">
        <v>88.26</v>
      </c>
      <c r="G8" s="2"/>
      <c r="H8" s="2" t="s">
        <v>5</v>
      </c>
    </row>
    <row r="9" spans="1:9">
      <c r="A9" s="10">
        <v>43743</v>
      </c>
      <c r="B9" s="18" t="s">
        <v>110</v>
      </c>
      <c r="C9" s="4"/>
      <c r="D9" s="19">
        <v>78.8</v>
      </c>
      <c r="E9" s="4">
        <f>+D9*12%</f>
        <v>9.4559999999999995</v>
      </c>
      <c r="F9" s="5">
        <v>17.329999999999998</v>
      </c>
      <c r="G9" s="2"/>
      <c r="H9" s="2" t="s">
        <v>5</v>
      </c>
    </row>
    <row r="10" spans="1:9">
      <c r="A10" s="10">
        <v>43743</v>
      </c>
      <c r="B10" s="18" t="s">
        <v>111</v>
      </c>
      <c r="C10" s="4"/>
      <c r="D10" s="19">
        <v>98.45</v>
      </c>
      <c r="E10" s="4">
        <f>+D10*12%</f>
        <v>11.814</v>
      </c>
      <c r="F10" s="5">
        <v>117.51</v>
      </c>
      <c r="G10" s="2"/>
      <c r="H10" s="2" t="s">
        <v>5</v>
      </c>
    </row>
    <row r="11" spans="1:9">
      <c r="A11" s="10">
        <v>43687</v>
      </c>
      <c r="B11" s="18" t="s">
        <v>112</v>
      </c>
      <c r="C11" s="3">
        <v>212.17</v>
      </c>
      <c r="D11" s="19"/>
      <c r="E11" s="4"/>
      <c r="F11" s="5"/>
      <c r="G11" s="2"/>
      <c r="H11" s="2" t="s">
        <v>61</v>
      </c>
    </row>
    <row r="12" spans="1:9">
      <c r="A12" s="10">
        <v>43700</v>
      </c>
      <c r="B12" s="18" t="s">
        <v>114</v>
      </c>
      <c r="C12">
        <v>27.44</v>
      </c>
      <c r="D12" s="19"/>
      <c r="E12" s="4"/>
      <c r="F12" s="5"/>
      <c r="G12" s="2"/>
      <c r="H12" s="2" t="s">
        <v>61</v>
      </c>
    </row>
    <row r="13" spans="1:9">
      <c r="A13" s="10">
        <v>43717</v>
      </c>
      <c r="B13" s="18" t="s">
        <v>113</v>
      </c>
      <c r="C13" s="3"/>
      <c r="D13" s="19">
        <v>12.57</v>
      </c>
      <c r="E13" s="4">
        <f>+D13*12%</f>
        <v>1.5084</v>
      </c>
      <c r="F13" s="5">
        <v>15.86</v>
      </c>
      <c r="G13" s="2"/>
      <c r="H13" s="2" t="s">
        <v>6</v>
      </c>
    </row>
    <row r="14" spans="1:9">
      <c r="A14" s="10">
        <v>43717</v>
      </c>
      <c r="B14" s="18" t="s">
        <v>115</v>
      </c>
      <c r="C14">
        <v>197</v>
      </c>
      <c r="D14" s="19"/>
      <c r="E14" s="4">
        <f>+D14*12%</f>
        <v>0</v>
      </c>
      <c r="F14" s="5"/>
      <c r="G14" s="2">
        <f>+C14*2%</f>
        <v>3.94</v>
      </c>
      <c r="H14" t="s">
        <v>116</v>
      </c>
    </row>
    <row r="15" spans="1:9">
      <c r="A15" s="20">
        <v>43739</v>
      </c>
      <c r="B15" s="18" t="s">
        <v>108</v>
      </c>
      <c r="C15">
        <v>0.45</v>
      </c>
      <c r="D15" s="19">
        <v>52.65</v>
      </c>
      <c r="E15" s="4">
        <f>+D15*12%</f>
        <v>6.3179999999999996</v>
      </c>
      <c r="F15" s="5">
        <v>28</v>
      </c>
      <c r="G15" s="2"/>
      <c r="H15" t="s">
        <v>107</v>
      </c>
    </row>
    <row r="16" spans="1:9">
      <c r="A16" s="20"/>
      <c r="B16" s="18" t="s">
        <v>118</v>
      </c>
      <c r="D16" s="21">
        <v>47.02</v>
      </c>
      <c r="E16" s="8">
        <f>+D16*12%</f>
        <v>5.6424000000000003</v>
      </c>
      <c r="F16" s="8"/>
      <c r="G16" s="7">
        <f>+D16*2%</f>
        <v>0.94040000000000012</v>
      </c>
      <c r="H16" s="7" t="s">
        <v>248</v>
      </c>
      <c r="I16" s="26"/>
    </row>
    <row r="17" spans="1:8">
      <c r="A17" s="20"/>
      <c r="B17" s="18" t="s">
        <v>117</v>
      </c>
      <c r="C17">
        <v>16.47</v>
      </c>
      <c r="D17" s="19"/>
      <c r="E17" s="4"/>
      <c r="F17" s="5"/>
      <c r="G17" s="2"/>
    </row>
    <row r="18" spans="1:8">
      <c r="A18" s="20">
        <v>43761</v>
      </c>
      <c r="B18" s="18" t="s">
        <v>119</v>
      </c>
      <c r="D18" s="19">
        <v>19.64</v>
      </c>
      <c r="E18" s="4">
        <f>+D18*12%</f>
        <v>2.3567999999999998</v>
      </c>
      <c r="F18" s="5">
        <f>+D18+E18</f>
        <v>21.9968</v>
      </c>
      <c r="G18" s="2"/>
      <c r="H18" t="s">
        <v>107</v>
      </c>
    </row>
    <row r="19" spans="1:8">
      <c r="A19" s="10"/>
      <c r="B19" s="16"/>
      <c r="C19" s="11">
        <f>SUM(C8:C18)</f>
        <v>453.53</v>
      </c>
      <c r="D19" s="11">
        <f t="shared" ref="D19:G19" si="2">SUM(D8:D18)</f>
        <v>323.40999999999997</v>
      </c>
      <c r="E19" s="11">
        <f t="shared" si="2"/>
        <v>38.809199999999997</v>
      </c>
      <c r="F19" s="11">
        <f t="shared" si="2"/>
        <v>288.95680000000004</v>
      </c>
      <c r="G19" s="11">
        <f t="shared" si="2"/>
        <v>4.8803999999999998</v>
      </c>
    </row>
    <row r="20" spans="1:8">
      <c r="B20" s="10"/>
    </row>
    <row r="23" spans="1:8">
      <c r="B23" s="2" t="s">
        <v>9</v>
      </c>
      <c r="C23" s="2"/>
      <c r="D23" s="5">
        <f>+C5</f>
        <v>548.52</v>
      </c>
      <c r="E23" s="5">
        <f>+D23*12%</f>
        <v>65.822400000000002</v>
      </c>
      <c r="F23" s="2"/>
    </row>
    <row r="24" spans="1:8">
      <c r="B24" s="2"/>
      <c r="C24" s="2"/>
      <c r="D24" s="5"/>
      <c r="E24" s="2">
        <f>+D24*14%</f>
        <v>0</v>
      </c>
      <c r="F24" s="2"/>
    </row>
    <row r="25" spans="1:8">
      <c r="B25" s="2" t="s">
        <v>10</v>
      </c>
      <c r="C25" s="2"/>
      <c r="D25" s="5"/>
      <c r="E25" s="2"/>
      <c r="F25" s="2"/>
    </row>
    <row r="26" spans="1:8">
      <c r="B26" s="2"/>
      <c r="C26" s="2"/>
      <c r="D26" s="5"/>
      <c r="E26" s="12">
        <f>+E23-E24+E25</f>
        <v>65.822400000000002</v>
      </c>
      <c r="F26" s="2"/>
    </row>
    <row r="27" spans="1:8">
      <c r="B27" s="2" t="s">
        <v>4</v>
      </c>
      <c r="C27" s="5"/>
      <c r="D27" s="5">
        <f>+D19</f>
        <v>323.40999999999997</v>
      </c>
      <c r="E27" s="12">
        <f>+D27*0.12</f>
        <v>38.809199999999997</v>
      </c>
      <c r="F27" s="2"/>
    </row>
    <row r="28" spans="1:8">
      <c r="B28" s="2"/>
      <c r="C28" s="5"/>
      <c r="D28" s="5">
        <f>+C19</f>
        <v>453.53</v>
      </c>
      <c r="E28" s="5"/>
      <c r="F28" s="2"/>
    </row>
    <row r="29" spans="1:8">
      <c r="B29" s="2" t="s">
        <v>11</v>
      </c>
      <c r="C29" s="2"/>
      <c r="D29" s="5">
        <f>+D27+D28</f>
        <v>776.93999999999994</v>
      </c>
      <c r="E29" s="5">
        <f>+E26-E27-0.01</f>
        <v>27.003200000000003</v>
      </c>
      <c r="F29" s="2"/>
    </row>
    <row r="30" spans="1:8">
      <c r="B30" s="2">
        <v>605</v>
      </c>
      <c r="C30" s="2"/>
      <c r="D30" s="2"/>
      <c r="E30" s="5"/>
      <c r="F30" s="2"/>
    </row>
    <row r="31" spans="1:8">
      <c r="B31" s="2">
        <v>606</v>
      </c>
      <c r="C31" s="2"/>
      <c r="D31" s="2"/>
      <c r="E31" s="5">
        <f>+AGOSTO!E36</f>
        <v>-29.762688571428576</v>
      </c>
      <c r="F31" s="2"/>
    </row>
    <row r="32" spans="1:8">
      <c r="B32" s="2">
        <v>609</v>
      </c>
      <c r="C32" s="2"/>
      <c r="D32" s="2"/>
      <c r="E32" s="5">
        <f>-G5</f>
        <v>-46.075679999999998</v>
      </c>
      <c r="F32" s="2"/>
    </row>
    <row r="33" spans="2:6">
      <c r="B33" s="2">
        <v>615</v>
      </c>
      <c r="C33" s="2"/>
      <c r="D33" s="2"/>
      <c r="E33" s="9"/>
      <c r="F33" s="5"/>
    </row>
    <row r="34" spans="2:6">
      <c r="B34" s="2">
        <v>617</v>
      </c>
      <c r="C34" s="2"/>
      <c r="D34" s="2"/>
      <c r="E34" s="5">
        <f>+E29+E31+E32</f>
        <v>-48.835168571428568</v>
      </c>
      <c r="F34" s="5"/>
    </row>
    <row r="35" spans="2:6">
      <c r="B35" s="2"/>
      <c r="C35" s="2"/>
      <c r="D35" s="2"/>
      <c r="E35" s="5"/>
      <c r="F35" s="5"/>
    </row>
    <row r="36" spans="2:6">
      <c r="B36" s="2" t="s">
        <v>12</v>
      </c>
      <c r="C36" s="2"/>
      <c r="D36" s="2"/>
      <c r="E36" s="5">
        <f>+E35</f>
        <v>0</v>
      </c>
      <c r="F36" s="2"/>
    </row>
    <row r="37" spans="2:6">
      <c r="B37" s="2"/>
      <c r="C37" s="2"/>
      <c r="D37" s="2"/>
      <c r="E37" s="2"/>
      <c r="F37" s="2"/>
    </row>
    <row r="38" spans="2:6">
      <c r="B38" s="2" t="s">
        <v>13</v>
      </c>
      <c r="C38" s="5"/>
      <c r="D38" s="2"/>
      <c r="E38" s="5"/>
      <c r="F38" s="2"/>
    </row>
    <row r="39" spans="2:6">
      <c r="B39" s="2"/>
      <c r="C39" s="2">
        <v>309</v>
      </c>
      <c r="D39" s="5"/>
      <c r="E39" s="2">
        <f>+D39*1%</f>
        <v>0</v>
      </c>
      <c r="F39" s="2"/>
    </row>
    <row r="40" spans="2:6">
      <c r="B40" s="2"/>
      <c r="C40" s="2">
        <v>344</v>
      </c>
      <c r="D40" s="5">
        <f>+C14+D16</f>
        <v>244.02</v>
      </c>
      <c r="E40" s="2">
        <f>+D40*2%</f>
        <v>4.8804000000000007</v>
      </c>
      <c r="F40" s="2"/>
    </row>
    <row r="41" spans="2:6">
      <c r="B41" s="2"/>
      <c r="C41" s="2">
        <v>332</v>
      </c>
      <c r="D41" s="5">
        <f>+D19+C19-C14-D16</f>
        <v>532.91999999999996</v>
      </c>
      <c r="E41" s="5"/>
      <c r="F41" s="2"/>
    </row>
    <row r="42" spans="2:6">
      <c r="B42" s="2"/>
      <c r="C42" s="2"/>
      <c r="D42" s="5">
        <f>SUM(D39:D41)</f>
        <v>776.93999999999994</v>
      </c>
      <c r="E42" s="2">
        <f>SUM(E39:E41)</f>
        <v>4.8804000000000007</v>
      </c>
      <c r="F42" s="2"/>
    </row>
    <row r="43" spans="2:6">
      <c r="B43" s="2"/>
      <c r="C43" s="2"/>
      <c r="D43" s="2"/>
      <c r="E43" s="2"/>
      <c r="F43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B1" workbookViewId="0">
      <selection activeCell="E38" sqref="E38"/>
    </sheetView>
  </sheetViews>
  <sheetFormatPr baseColWidth="10" defaultRowHeight="15"/>
  <cols>
    <col min="1" max="1" width="17.5703125" customWidth="1"/>
  </cols>
  <sheetData>
    <row r="1" spans="1:9">
      <c r="A1" s="1"/>
      <c r="B1" s="2" t="s">
        <v>0</v>
      </c>
      <c r="C1" s="2" t="s">
        <v>126</v>
      </c>
      <c r="D1" s="2"/>
      <c r="E1" s="2"/>
      <c r="F1" s="2" t="s">
        <v>1</v>
      </c>
      <c r="G1" s="2" t="s">
        <v>2</v>
      </c>
      <c r="H1" s="2"/>
    </row>
    <row r="2" spans="1:9">
      <c r="A2" s="6" t="s">
        <v>122</v>
      </c>
      <c r="B2" s="2">
        <v>603</v>
      </c>
      <c r="C2" s="8">
        <v>359</v>
      </c>
      <c r="D2" s="5">
        <f t="shared" ref="D2" si="0">+C2*0.12</f>
        <v>43.08</v>
      </c>
      <c r="E2" s="5">
        <f t="shared" ref="E2" si="1">+C2+D2</f>
        <v>402.08</v>
      </c>
      <c r="F2" s="2">
        <f>+C2*2%</f>
        <v>7.18</v>
      </c>
      <c r="G2" s="5">
        <f>+D2*70%</f>
        <v>30.155999999999995</v>
      </c>
      <c r="H2" s="5"/>
      <c r="I2" s="9"/>
    </row>
    <row r="3" spans="1:9">
      <c r="A3" s="6" t="s">
        <v>98</v>
      </c>
      <c r="B3" s="2">
        <v>604</v>
      </c>
      <c r="C3" s="8">
        <v>94.5</v>
      </c>
      <c r="D3" s="5">
        <f t="shared" ref="D3" si="2">+C3*0.12</f>
        <v>11.34</v>
      </c>
      <c r="E3" s="5">
        <f t="shared" ref="E3" si="3">+C3+D3</f>
        <v>105.84</v>
      </c>
      <c r="F3" s="2">
        <f>+C3*2%</f>
        <v>1.8900000000000001</v>
      </c>
      <c r="G3" s="5">
        <f>+D3*70%</f>
        <v>7.9379999999999997</v>
      </c>
      <c r="H3" s="5"/>
      <c r="I3" s="9"/>
    </row>
    <row r="4" spans="1:9">
      <c r="A4" s="6" t="s">
        <v>123</v>
      </c>
      <c r="B4" s="3">
        <v>607</v>
      </c>
      <c r="C4" s="8">
        <v>401.2</v>
      </c>
      <c r="D4" s="5">
        <f t="shared" ref="D4:D6" si="4">+C4*0.12</f>
        <v>48.143999999999998</v>
      </c>
      <c r="E4" s="5">
        <f t="shared" ref="E4:E6" si="5">+C4+D4</f>
        <v>449.34399999999999</v>
      </c>
      <c r="F4" s="2">
        <f t="shared" ref="F4:F6" si="6">+C4*2%</f>
        <v>8.0239999999999991</v>
      </c>
      <c r="G4" s="5">
        <f t="shared" ref="G4" si="7">+D4*70%</f>
        <v>33.700799999999994</v>
      </c>
      <c r="H4" s="2"/>
      <c r="I4" s="6"/>
    </row>
    <row r="5" spans="1:9">
      <c r="A5" s="6" t="s">
        <v>124</v>
      </c>
      <c r="B5" s="3">
        <v>610</v>
      </c>
      <c r="C5" s="8">
        <v>393.12</v>
      </c>
      <c r="D5" s="5">
        <f t="shared" si="4"/>
        <v>47.174399999999999</v>
      </c>
      <c r="E5" s="5">
        <f t="shared" si="5"/>
        <v>440.2944</v>
      </c>
      <c r="F5" s="2">
        <f t="shared" si="6"/>
        <v>7.8624000000000001</v>
      </c>
      <c r="G5" s="5"/>
      <c r="H5" s="2"/>
      <c r="I5" s="6"/>
    </row>
    <row r="6" spans="1:9">
      <c r="A6" s="6" t="s">
        <v>124</v>
      </c>
      <c r="B6" s="3">
        <v>612</v>
      </c>
      <c r="C6" s="8">
        <v>900.9</v>
      </c>
      <c r="D6" s="5">
        <f t="shared" si="4"/>
        <v>108.10799999999999</v>
      </c>
      <c r="E6" s="5">
        <f t="shared" si="5"/>
        <v>1009.0079999999999</v>
      </c>
      <c r="F6" s="2">
        <f t="shared" si="6"/>
        <v>18.018000000000001</v>
      </c>
      <c r="G6" s="5"/>
      <c r="H6" s="2"/>
      <c r="I6" s="6"/>
    </row>
    <row r="7" spans="1:9">
      <c r="A7" s="1"/>
      <c r="B7" s="7"/>
      <c r="C7" s="8">
        <f>SUM(C2:C6)</f>
        <v>2148.7200000000003</v>
      </c>
      <c r="D7" s="8">
        <f>SUM(D2:D6)</f>
        <v>257.84639999999996</v>
      </c>
      <c r="E7" s="8">
        <f>SUM(E2:E6)</f>
        <v>2406.5663999999997</v>
      </c>
      <c r="F7" s="8">
        <f>SUM(F2:F6)</f>
        <v>42.974400000000003</v>
      </c>
      <c r="G7" s="8">
        <f>SUM(G2:G6)</f>
        <v>71.794799999999981</v>
      </c>
      <c r="H7" s="8"/>
      <c r="I7" s="8"/>
    </row>
    <row r="8" spans="1:9">
      <c r="A8" s="1"/>
      <c r="C8" s="9"/>
      <c r="D8" s="9"/>
      <c r="E8" s="9"/>
      <c r="F8" s="9"/>
      <c r="I8" s="9"/>
    </row>
    <row r="9" spans="1:9">
      <c r="A9" s="1"/>
      <c r="B9" s="18"/>
      <c r="D9" s="19"/>
      <c r="E9" s="4"/>
      <c r="F9" s="5"/>
      <c r="G9" s="2"/>
    </row>
    <row r="10" spans="1:9">
      <c r="A10" s="10">
        <v>43775</v>
      </c>
      <c r="B10" s="18" t="s">
        <v>127</v>
      </c>
      <c r="C10" s="17"/>
      <c r="D10" s="19">
        <v>102.59</v>
      </c>
      <c r="E10" s="4">
        <f>+D10*12%</f>
        <v>12.3108</v>
      </c>
      <c r="F10" s="5">
        <f>+D10+E10</f>
        <v>114.9008</v>
      </c>
      <c r="G10" s="2"/>
      <c r="H10" s="2" t="s">
        <v>5</v>
      </c>
    </row>
    <row r="11" spans="1:9">
      <c r="A11" s="10">
        <v>43775</v>
      </c>
      <c r="B11" s="18" t="s">
        <v>128</v>
      </c>
      <c r="C11" s="4"/>
      <c r="D11" s="19">
        <v>13.81</v>
      </c>
      <c r="E11" s="4">
        <f>+D11*12%</f>
        <v>1.6572</v>
      </c>
      <c r="F11" s="5">
        <v>17.329999999999998</v>
      </c>
      <c r="G11" s="2"/>
      <c r="H11" s="2" t="s">
        <v>5</v>
      </c>
    </row>
    <row r="12" spans="1:9">
      <c r="A12" s="10">
        <v>43775</v>
      </c>
      <c r="B12" s="18" t="s">
        <v>129</v>
      </c>
      <c r="C12" s="4"/>
      <c r="D12" s="19">
        <v>78.8</v>
      </c>
      <c r="E12" s="4">
        <f>+D12*12%</f>
        <v>9.4559999999999995</v>
      </c>
      <c r="F12" s="5">
        <v>117.51</v>
      </c>
      <c r="G12" s="2"/>
      <c r="H12" s="2" t="s">
        <v>5</v>
      </c>
    </row>
    <row r="13" spans="1:9">
      <c r="A13" s="10">
        <v>43777</v>
      </c>
      <c r="B13" s="30" t="s">
        <v>130</v>
      </c>
      <c r="C13" s="3">
        <v>36.28</v>
      </c>
      <c r="D13" s="19"/>
      <c r="E13" s="4"/>
      <c r="F13" s="5"/>
      <c r="G13" s="2"/>
      <c r="H13" s="2" t="s">
        <v>61</v>
      </c>
    </row>
    <row r="14" spans="1:9">
      <c r="A14" s="10">
        <v>43796</v>
      </c>
      <c r="B14" s="30" t="s">
        <v>134</v>
      </c>
      <c r="C14">
        <v>28.59</v>
      </c>
      <c r="D14" s="19"/>
      <c r="E14" s="4"/>
      <c r="F14" s="5"/>
      <c r="G14" s="2"/>
      <c r="H14" s="2" t="s">
        <v>61</v>
      </c>
    </row>
    <row r="15" spans="1:9">
      <c r="A15" s="10">
        <v>43781</v>
      </c>
      <c r="B15" s="18" t="s">
        <v>133</v>
      </c>
      <c r="C15" s="3"/>
      <c r="D15" s="19">
        <v>9.2799999999999994</v>
      </c>
      <c r="E15" s="4">
        <f t="shared" ref="E15:E19" si="8">+D15*12%</f>
        <v>1.1135999999999999</v>
      </c>
      <c r="F15" s="5">
        <v>15.86</v>
      </c>
      <c r="G15" s="2"/>
      <c r="H15" s="2" t="s">
        <v>6</v>
      </c>
    </row>
    <row r="16" spans="1:9">
      <c r="A16" s="10">
        <v>43781</v>
      </c>
      <c r="B16" s="18" t="s">
        <v>131</v>
      </c>
      <c r="D16" s="19">
        <v>109.7</v>
      </c>
      <c r="E16" s="4">
        <f t="shared" si="8"/>
        <v>13.164</v>
      </c>
      <c r="F16" s="5"/>
      <c r="G16" s="5">
        <f>+D16*2%</f>
        <v>2.194</v>
      </c>
      <c r="H16" t="s">
        <v>132</v>
      </c>
    </row>
    <row r="17" spans="1:8">
      <c r="A17" s="10">
        <v>43739</v>
      </c>
      <c r="B17" s="18"/>
      <c r="D17" s="19"/>
      <c r="E17" s="4">
        <f t="shared" si="8"/>
        <v>0</v>
      </c>
      <c r="F17" s="5">
        <v>28</v>
      </c>
      <c r="G17" s="2"/>
      <c r="H17" t="s">
        <v>107</v>
      </c>
    </row>
    <row r="18" spans="1:8">
      <c r="A18" s="10"/>
      <c r="B18" s="18"/>
      <c r="D18" s="19"/>
      <c r="E18" s="4">
        <f t="shared" si="8"/>
        <v>0</v>
      </c>
      <c r="F18" s="5"/>
      <c r="G18" s="2"/>
    </row>
    <row r="19" spans="1:8">
      <c r="A19" s="10">
        <v>43789</v>
      </c>
      <c r="B19" s="18" t="s">
        <v>120</v>
      </c>
      <c r="D19" s="19">
        <v>100</v>
      </c>
      <c r="E19" s="4">
        <f t="shared" si="8"/>
        <v>12</v>
      </c>
      <c r="F19" s="5">
        <f>+D19+E19</f>
        <v>112</v>
      </c>
      <c r="G19" s="2">
        <f>+D19*2%</f>
        <v>2</v>
      </c>
      <c r="H19" t="s">
        <v>121</v>
      </c>
    </row>
    <row r="20" spans="1:8">
      <c r="A20" s="10"/>
      <c r="B20" s="18"/>
      <c r="D20" s="19"/>
      <c r="E20" s="4"/>
      <c r="F20" s="5"/>
      <c r="G20" s="2"/>
    </row>
    <row r="21" spans="1:8">
      <c r="A21" s="10"/>
      <c r="B21" s="16"/>
      <c r="C21" s="11">
        <f>SUM(C10:C20)</f>
        <v>64.87</v>
      </c>
      <c r="D21" s="11">
        <f>SUM(D10:D20)</f>
        <v>414.18</v>
      </c>
      <c r="E21" s="11">
        <f>SUM(E10:E20)</f>
        <v>49.701599999999999</v>
      </c>
      <c r="F21" s="11">
        <f>SUM(F10:F20)</f>
        <v>405.60079999999999</v>
      </c>
      <c r="G21" s="11">
        <f>SUM(G10:G20)</f>
        <v>4.194</v>
      </c>
    </row>
    <row r="22" spans="1:8">
      <c r="B22" s="10"/>
    </row>
    <row r="25" spans="1:8">
      <c r="B25" s="2" t="s">
        <v>9</v>
      </c>
      <c r="C25" s="2"/>
      <c r="D25" s="5">
        <f>+C7</f>
        <v>2148.7200000000003</v>
      </c>
      <c r="E25" s="5">
        <f>+D25*12%</f>
        <v>257.84640000000002</v>
      </c>
      <c r="F25" s="2"/>
    </row>
    <row r="26" spans="1:8">
      <c r="B26" s="2"/>
      <c r="C26" s="2"/>
      <c r="D26" s="5"/>
      <c r="E26" s="2">
        <f>+D26*14%</f>
        <v>0</v>
      </c>
      <c r="F26" s="2"/>
    </row>
    <row r="27" spans="1:8">
      <c r="B27" s="2" t="s">
        <v>10</v>
      </c>
      <c r="C27" s="2"/>
      <c r="D27" s="5"/>
      <c r="E27" s="2"/>
      <c r="F27" s="2"/>
    </row>
    <row r="28" spans="1:8">
      <c r="B28" s="2"/>
      <c r="C28" s="2"/>
      <c r="D28" s="5"/>
      <c r="E28" s="12">
        <f>+E25-E26+E27</f>
        <v>257.84640000000002</v>
      </c>
      <c r="F28" s="2"/>
    </row>
    <row r="29" spans="1:8">
      <c r="B29" s="2" t="s">
        <v>4</v>
      </c>
      <c r="C29" s="5"/>
      <c r="D29" s="5">
        <f>+D21</f>
        <v>414.18</v>
      </c>
      <c r="E29" s="12">
        <f>+D29*0.12</f>
        <v>49.701599999999999</v>
      </c>
      <c r="F29" s="2"/>
    </row>
    <row r="30" spans="1:8">
      <c r="B30" s="2"/>
      <c r="C30" s="5"/>
      <c r="D30" s="5">
        <f>+C21</f>
        <v>64.87</v>
      </c>
      <c r="E30" s="5"/>
      <c r="F30" s="2"/>
    </row>
    <row r="31" spans="1:8">
      <c r="B31" s="2" t="s">
        <v>11</v>
      </c>
      <c r="C31" s="2"/>
      <c r="D31" s="5">
        <f>+D29+D30</f>
        <v>479.05</v>
      </c>
      <c r="E31" s="5">
        <f>+E28-E29</f>
        <v>208.14480000000003</v>
      </c>
      <c r="F31" s="2"/>
    </row>
    <row r="32" spans="1:8">
      <c r="B32" s="2">
        <v>605</v>
      </c>
      <c r="C32" s="2"/>
      <c r="D32" s="2"/>
      <c r="E32" s="5"/>
      <c r="F32" s="2"/>
    </row>
    <row r="33" spans="2:6">
      <c r="B33" s="2">
        <v>606</v>
      </c>
      <c r="C33" s="2"/>
      <c r="D33" s="2"/>
      <c r="E33" s="5">
        <f>+OCTUBRE!E34</f>
        <v>-48.835168571428568</v>
      </c>
      <c r="F33" s="2"/>
    </row>
    <row r="34" spans="2:6">
      <c r="B34" s="2">
        <v>609</v>
      </c>
      <c r="C34" s="2"/>
      <c r="D34" s="2"/>
      <c r="E34" s="5">
        <f>-G7</f>
        <v>-71.794799999999981</v>
      </c>
      <c r="F34" s="2"/>
    </row>
    <row r="35" spans="2:6">
      <c r="B35" s="2">
        <v>615</v>
      </c>
      <c r="C35" s="2"/>
      <c r="D35" s="2"/>
      <c r="E35" s="9"/>
      <c r="F35" s="5"/>
    </row>
    <row r="36" spans="2:6">
      <c r="B36" s="2">
        <v>617</v>
      </c>
      <c r="C36" s="2"/>
      <c r="D36" s="2"/>
      <c r="E36" s="5">
        <f>+E31+E33+E34</f>
        <v>87.514831428571483</v>
      </c>
      <c r="F36" s="5"/>
    </row>
    <row r="37" spans="2:6">
      <c r="B37" s="2"/>
      <c r="C37" s="2"/>
      <c r="D37" s="2"/>
      <c r="E37" s="5"/>
      <c r="F37" s="5"/>
    </row>
    <row r="38" spans="2:6">
      <c r="B38" s="2" t="s">
        <v>12</v>
      </c>
      <c r="C38" s="2"/>
      <c r="D38" s="2"/>
      <c r="E38" s="5">
        <f>+E37</f>
        <v>0</v>
      </c>
      <c r="F38" s="2"/>
    </row>
    <row r="39" spans="2:6">
      <c r="B39" s="2"/>
      <c r="C39" s="2"/>
      <c r="D39" s="2"/>
      <c r="E39" s="2"/>
      <c r="F39" s="2"/>
    </row>
    <row r="40" spans="2:6">
      <c r="B40" s="2" t="s">
        <v>13</v>
      </c>
      <c r="C40" s="5"/>
      <c r="D40" s="2"/>
      <c r="E40" s="5"/>
      <c r="F40" s="2"/>
    </row>
    <row r="41" spans="2:6">
      <c r="B41" s="2"/>
      <c r="C41" s="2">
        <v>309</v>
      </c>
      <c r="D41" s="5"/>
      <c r="E41" s="2">
        <f>+D41*1%</f>
        <v>0</v>
      </c>
      <c r="F41" s="2"/>
    </row>
    <row r="42" spans="2:6">
      <c r="B42" s="2"/>
      <c r="C42" s="2">
        <v>344</v>
      </c>
      <c r="D42" s="5">
        <f>+D19+D16</f>
        <v>209.7</v>
      </c>
      <c r="E42" s="2">
        <f>+D42*2%</f>
        <v>4.194</v>
      </c>
      <c r="F42" s="2"/>
    </row>
    <row r="43" spans="2:6">
      <c r="B43" s="2"/>
      <c r="C43" s="2">
        <v>332</v>
      </c>
      <c r="D43" s="5">
        <f>+D10+D11+D12+C13+C14+D15</f>
        <v>269.34999999999997</v>
      </c>
      <c r="E43" s="5"/>
      <c r="F43" s="2"/>
    </row>
    <row r="44" spans="2:6">
      <c r="B44" s="2"/>
      <c r="C44" s="2"/>
      <c r="D44" s="5">
        <f>SUM(D41:D43)</f>
        <v>479.04999999999995</v>
      </c>
      <c r="E44" s="2">
        <f>SUM(E41:E43)</f>
        <v>4.194</v>
      </c>
      <c r="F44" s="2"/>
    </row>
    <row r="45" spans="2:6">
      <c r="B45" s="2"/>
      <c r="C45" s="2"/>
      <c r="D45" s="2"/>
      <c r="E45" s="2"/>
      <c r="F45" s="2"/>
    </row>
  </sheetData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C22" sqref="C22"/>
    </sheetView>
  </sheetViews>
  <sheetFormatPr baseColWidth="10" defaultRowHeight="15"/>
  <sheetData>
    <row r="1" spans="1:9">
      <c r="A1" s="1"/>
      <c r="B1" s="2" t="s">
        <v>0</v>
      </c>
      <c r="C1" s="2" t="s">
        <v>125</v>
      </c>
      <c r="D1" s="2"/>
      <c r="E1" s="2"/>
      <c r="F1" s="2" t="s">
        <v>1</v>
      </c>
      <c r="G1" s="2" t="s">
        <v>2</v>
      </c>
      <c r="H1" s="2"/>
    </row>
    <row r="2" spans="1:9">
      <c r="A2" s="6" t="s">
        <v>123</v>
      </c>
      <c r="B2" s="3">
        <v>608</v>
      </c>
      <c r="C2" s="4">
        <v>423.6</v>
      </c>
      <c r="D2" s="5">
        <f t="shared" ref="D2" si="0">+C2*0.12</f>
        <v>50.832000000000001</v>
      </c>
      <c r="E2" s="5">
        <f t="shared" ref="E2" si="1">+C2+D2</f>
        <v>474.43200000000002</v>
      </c>
      <c r="F2" s="2">
        <f t="shared" ref="F2" si="2">+C2*2%</f>
        <v>8.4720000000000013</v>
      </c>
      <c r="G2" s="5">
        <f t="shared" ref="G2" si="3">+D2*70%</f>
        <v>35.5824</v>
      </c>
      <c r="H2" s="5"/>
      <c r="I2" s="9"/>
    </row>
    <row r="3" spans="1:9">
      <c r="A3" s="6" t="s">
        <v>123</v>
      </c>
      <c r="B3" s="2">
        <v>613</v>
      </c>
      <c r="C3" s="4">
        <v>418</v>
      </c>
      <c r="D3" s="5">
        <f t="shared" ref="D3:D4" si="4">+C3*0.12</f>
        <v>50.16</v>
      </c>
      <c r="E3" s="5">
        <f t="shared" ref="E3:E4" si="5">+C3+D3</f>
        <v>468.15999999999997</v>
      </c>
      <c r="F3" s="2">
        <f>+C3*2%</f>
        <v>8.36</v>
      </c>
      <c r="G3" s="5">
        <f>+D3*70%</f>
        <v>35.111999999999995</v>
      </c>
      <c r="H3" s="5"/>
      <c r="I3" s="9"/>
    </row>
    <row r="4" spans="1:9">
      <c r="A4" s="6" t="s">
        <v>123</v>
      </c>
      <c r="B4" s="2">
        <v>616</v>
      </c>
      <c r="C4" s="4">
        <v>423.6</v>
      </c>
      <c r="D4" s="5">
        <f t="shared" si="4"/>
        <v>50.832000000000001</v>
      </c>
      <c r="E4" s="5">
        <f t="shared" si="5"/>
        <v>474.43200000000002</v>
      </c>
      <c r="F4" s="2">
        <f t="shared" ref="F4" si="6">+C4*2%</f>
        <v>8.4720000000000013</v>
      </c>
      <c r="G4" s="5">
        <f t="shared" ref="G4" si="7">+D4*70%</f>
        <v>35.5824</v>
      </c>
      <c r="H4" s="2"/>
      <c r="I4" s="6"/>
    </row>
    <row r="5" spans="1:9">
      <c r="A5" s="6"/>
      <c r="B5" s="3"/>
      <c r="C5" s="4"/>
      <c r="D5" s="5"/>
      <c r="E5" s="5"/>
      <c r="F5" s="2"/>
      <c r="G5" s="5"/>
      <c r="H5" s="2"/>
      <c r="I5" s="6"/>
    </row>
    <row r="6" spans="1:9">
      <c r="A6" s="1"/>
      <c r="B6" s="7"/>
      <c r="C6" s="8">
        <f>SUM(C2:C5)</f>
        <v>1265.2</v>
      </c>
      <c r="D6" s="8">
        <f>SUM(D2:D5)</f>
        <v>151.82399999999998</v>
      </c>
      <c r="E6" s="8">
        <f>SUM(E2:E5)</f>
        <v>1417.0239999999999</v>
      </c>
      <c r="F6" s="8">
        <f>SUM(F2:F5)</f>
        <v>25.304000000000002</v>
      </c>
      <c r="G6" s="8">
        <f>SUM(G2:G5)</f>
        <v>106.27680000000001</v>
      </c>
      <c r="H6" s="8"/>
      <c r="I6" s="8"/>
    </row>
    <row r="7" spans="1:9">
      <c r="A7" s="1"/>
      <c r="C7" s="9"/>
      <c r="D7" s="9"/>
      <c r="E7" s="9"/>
      <c r="F7" s="9"/>
      <c r="I7" s="9"/>
    </row>
    <row r="8" spans="1:9">
      <c r="A8" s="1"/>
      <c r="B8" s="18"/>
      <c r="D8" s="19"/>
      <c r="E8" s="4"/>
      <c r="F8" s="5"/>
      <c r="G8" s="2"/>
    </row>
    <row r="9" spans="1:9">
      <c r="A9" s="10">
        <v>43804</v>
      </c>
      <c r="B9" t="s">
        <v>156</v>
      </c>
      <c r="C9" s="17"/>
      <c r="D9" s="19">
        <v>78.86</v>
      </c>
      <c r="E9" s="4">
        <f>+D9*12%</f>
        <v>9.4631999999999987</v>
      </c>
      <c r="F9" s="5">
        <f>+D9+E9</f>
        <v>88.3232</v>
      </c>
      <c r="G9" s="2"/>
      <c r="H9" s="2" t="s">
        <v>5</v>
      </c>
    </row>
    <row r="10" spans="1:9">
      <c r="A10" s="10">
        <v>43802</v>
      </c>
      <c r="B10" t="s">
        <v>157</v>
      </c>
      <c r="C10" s="4"/>
      <c r="D10" s="19">
        <v>13.8</v>
      </c>
      <c r="E10" s="4">
        <f>+D10*12%</f>
        <v>1.6559999999999999</v>
      </c>
      <c r="F10" s="5">
        <f t="shared" ref="F10:F11" si="8">+D10+E10</f>
        <v>15.456000000000001</v>
      </c>
      <c r="G10" s="2"/>
      <c r="H10" s="2" t="s">
        <v>5</v>
      </c>
    </row>
    <row r="11" spans="1:9">
      <c r="A11" s="10">
        <v>43802</v>
      </c>
      <c r="B11" t="s">
        <v>158</v>
      </c>
      <c r="C11" s="4"/>
      <c r="D11" s="19">
        <v>84.62</v>
      </c>
      <c r="E11" s="4">
        <f>+D11*12%</f>
        <v>10.154400000000001</v>
      </c>
      <c r="F11" s="5">
        <f t="shared" si="8"/>
        <v>94.7744</v>
      </c>
      <c r="G11" s="2"/>
      <c r="H11" s="2" t="s">
        <v>5</v>
      </c>
    </row>
    <row r="12" spans="1:9">
      <c r="A12" s="10">
        <v>43808</v>
      </c>
      <c r="B12" t="s">
        <v>159</v>
      </c>
      <c r="C12" s="3">
        <v>126.9</v>
      </c>
      <c r="D12" s="19"/>
      <c r="E12" s="4"/>
      <c r="F12" s="5">
        <f>+C12+D12+E12</f>
        <v>126.9</v>
      </c>
      <c r="G12" s="2"/>
      <c r="H12" s="2" t="s">
        <v>61</v>
      </c>
    </row>
    <row r="13" spans="1:9">
      <c r="A13" s="10">
        <v>43822</v>
      </c>
      <c r="B13" t="s">
        <v>163</v>
      </c>
      <c r="C13">
        <v>28.08</v>
      </c>
      <c r="D13" s="19"/>
      <c r="E13" s="4"/>
      <c r="F13" s="5">
        <f>+C13+D13+E13</f>
        <v>28.08</v>
      </c>
      <c r="G13" s="2"/>
      <c r="H13" s="2" t="s">
        <v>61</v>
      </c>
    </row>
    <row r="14" spans="1:9">
      <c r="A14" s="10">
        <v>43809</v>
      </c>
      <c r="B14" t="s">
        <v>160</v>
      </c>
      <c r="C14" s="3"/>
      <c r="D14" s="19">
        <v>12.42</v>
      </c>
      <c r="E14" s="4">
        <f t="shared" ref="E14:E21" si="9">+D14*12%</f>
        <v>1.4903999999999999</v>
      </c>
      <c r="F14" s="5">
        <f t="shared" ref="F14" si="10">+D14+E14</f>
        <v>13.910399999999999</v>
      </c>
      <c r="G14" s="2"/>
      <c r="H14" s="2" t="s">
        <v>6</v>
      </c>
    </row>
    <row r="15" spans="1:9">
      <c r="A15" s="10">
        <v>43815</v>
      </c>
      <c r="B15" t="s">
        <v>161</v>
      </c>
      <c r="C15" s="3"/>
      <c r="D15" s="19">
        <v>156.72</v>
      </c>
      <c r="E15" s="4">
        <f t="shared" ref="E15" si="11">+D15*12%</f>
        <v>18.8064</v>
      </c>
      <c r="F15" s="5">
        <f t="shared" ref="F15:F21" si="12">+D15+E15</f>
        <v>175.5264</v>
      </c>
      <c r="G15" s="2"/>
      <c r="H15" t="s">
        <v>132</v>
      </c>
    </row>
    <row r="16" spans="1:9">
      <c r="A16" s="10">
        <v>43818</v>
      </c>
      <c r="B16" t="s">
        <v>14</v>
      </c>
      <c r="C16" s="3">
        <v>100</v>
      </c>
      <c r="D16" s="19"/>
      <c r="E16" s="4"/>
      <c r="F16" s="5">
        <f>+C16+D16+E16</f>
        <v>100</v>
      </c>
      <c r="G16" s="2"/>
      <c r="H16" t="s">
        <v>162</v>
      </c>
    </row>
    <row r="17" spans="1:10">
      <c r="A17" s="10">
        <v>43804</v>
      </c>
      <c r="B17" t="s">
        <v>164</v>
      </c>
      <c r="C17">
        <v>7.18</v>
      </c>
      <c r="D17" s="19"/>
      <c r="E17" s="4">
        <f t="shared" si="9"/>
        <v>0</v>
      </c>
      <c r="F17" s="5">
        <f>+C17+D17+E17</f>
        <v>7.18</v>
      </c>
      <c r="G17" s="2"/>
      <c r="H17" t="s">
        <v>171</v>
      </c>
    </row>
    <row r="18" spans="1:10">
      <c r="A18" s="10">
        <v>43807</v>
      </c>
      <c r="B18" t="s">
        <v>165</v>
      </c>
      <c r="D18" s="21">
        <v>18.899999999999999</v>
      </c>
      <c r="E18" s="8">
        <f t="shared" si="9"/>
        <v>2.2679999999999998</v>
      </c>
      <c r="F18" s="8">
        <f t="shared" si="12"/>
        <v>21.167999999999999</v>
      </c>
      <c r="G18" s="2">
        <f>+D18*2%</f>
        <v>0.378</v>
      </c>
      <c r="H18" t="s">
        <v>44</v>
      </c>
      <c r="J18" t="s">
        <v>248</v>
      </c>
    </row>
    <row r="19" spans="1:10">
      <c r="A19" s="20"/>
      <c r="B19" s="18"/>
      <c r="D19" s="19"/>
      <c r="E19" s="4">
        <f t="shared" si="9"/>
        <v>0</v>
      </c>
      <c r="F19" s="5">
        <f t="shared" si="12"/>
        <v>0</v>
      </c>
      <c r="G19" s="2"/>
      <c r="H19" t="s">
        <v>116</v>
      </c>
    </row>
    <row r="20" spans="1:10">
      <c r="A20" s="20"/>
      <c r="B20" s="18"/>
      <c r="D20" s="19">
        <v>0</v>
      </c>
      <c r="E20" s="4">
        <f t="shared" si="9"/>
        <v>0</v>
      </c>
      <c r="F20" s="5">
        <f t="shared" si="12"/>
        <v>0</v>
      </c>
      <c r="G20" s="2">
        <f>+D20*2%</f>
        <v>0</v>
      </c>
      <c r="H20" t="s">
        <v>121</v>
      </c>
    </row>
    <row r="21" spans="1:10">
      <c r="A21" s="20"/>
      <c r="B21" s="18"/>
      <c r="C21">
        <v>0</v>
      </c>
      <c r="D21" s="19"/>
      <c r="E21" s="4">
        <f t="shared" si="9"/>
        <v>0</v>
      </c>
      <c r="F21" s="5">
        <f t="shared" si="12"/>
        <v>0</v>
      </c>
      <c r="G21" s="2">
        <v>0</v>
      </c>
      <c r="H21" t="s">
        <v>107</v>
      </c>
    </row>
    <row r="22" spans="1:10">
      <c r="A22" s="10"/>
      <c r="B22" s="16"/>
      <c r="C22" s="11">
        <f>SUM(C9:C21)</f>
        <v>262.16000000000003</v>
      </c>
      <c r="D22" s="11">
        <f t="shared" ref="D22:G22" si="13">SUM(D9:D21)</f>
        <v>365.31999999999994</v>
      </c>
      <c r="E22" s="11">
        <f t="shared" si="13"/>
        <v>43.838400000000007</v>
      </c>
      <c r="F22" s="11">
        <f t="shared" si="13"/>
        <v>671.3184</v>
      </c>
      <c r="G22" s="11">
        <f t="shared" si="13"/>
        <v>0.378</v>
      </c>
    </row>
    <row r="23" spans="1:10">
      <c r="B23" s="10"/>
    </row>
    <row r="26" spans="1:10">
      <c r="B26" s="2" t="s">
        <v>9</v>
      </c>
      <c r="C26" s="2"/>
      <c r="D26" s="5">
        <f>+C6</f>
        <v>1265.2</v>
      </c>
      <c r="E26" s="5">
        <f>+D26*12%</f>
        <v>151.82400000000001</v>
      </c>
      <c r="F26" s="2"/>
    </row>
    <row r="27" spans="1:10">
      <c r="B27" s="2"/>
      <c r="C27" s="2"/>
      <c r="D27" s="5"/>
      <c r="E27" s="2">
        <f>+D27*14%</f>
        <v>0</v>
      </c>
      <c r="F27" s="2"/>
    </row>
    <row r="28" spans="1:10">
      <c r="B28" s="2" t="s">
        <v>10</v>
      </c>
      <c r="C28" s="2"/>
      <c r="D28" s="5"/>
      <c r="E28" s="2"/>
      <c r="F28" s="2"/>
    </row>
    <row r="29" spans="1:10">
      <c r="B29" s="2"/>
      <c r="C29" s="2"/>
      <c r="D29" s="5"/>
      <c r="E29" s="12">
        <f>+E26-E27+E28</f>
        <v>151.82400000000001</v>
      </c>
      <c r="F29" s="2"/>
    </row>
    <row r="30" spans="1:10">
      <c r="B30" s="2" t="s">
        <v>4</v>
      </c>
      <c r="C30" s="5"/>
      <c r="D30" s="5">
        <f>+D22</f>
        <v>365.31999999999994</v>
      </c>
      <c r="E30" s="12">
        <f>+D30*0.12</f>
        <v>43.838399999999993</v>
      </c>
      <c r="F30" s="2"/>
    </row>
    <row r="31" spans="1:10">
      <c r="B31" s="2"/>
      <c r="C31" s="5"/>
      <c r="D31" s="5">
        <f>+C22</f>
        <v>262.16000000000003</v>
      </c>
      <c r="E31" s="5"/>
      <c r="F31" s="2"/>
    </row>
    <row r="32" spans="1:10">
      <c r="B32" s="2" t="s">
        <v>11</v>
      </c>
      <c r="C32" s="2"/>
      <c r="D32" s="5">
        <f>+D30+D31</f>
        <v>627.48</v>
      </c>
      <c r="E32" s="5">
        <f>+E29-E30-0.01</f>
        <v>107.97560000000001</v>
      </c>
      <c r="F32" s="2"/>
    </row>
    <row r="33" spans="2:6">
      <c r="B33" s="2">
        <v>605</v>
      </c>
      <c r="C33" s="2"/>
      <c r="D33" s="2"/>
      <c r="E33" s="5"/>
      <c r="F33" s="2"/>
    </row>
    <row r="34" spans="2:6">
      <c r="B34" s="2">
        <v>606</v>
      </c>
      <c r="C34" s="2"/>
      <c r="D34" s="2"/>
      <c r="E34" s="5">
        <f>+AGOSTO!E36</f>
        <v>-29.762688571428576</v>
      </c>
      <c r="F34" s="2"/>
    </row>
    <row r="35" spans="2:6">
      <c r="B35" s="2">
        <v>609</v>
      </c>
      <c r="C35" s="2"/>
      <c r="D35" s="2"/>
      <c r="E35" s="5">
        <f>-G6</f>
        <v>-106.27680000000001</v>
      </c>
      <c r="F35" s="2"/>
    </row>
    <row r="36" spans="2:6">
      <c r="B36" s="2">
        <v>615</v>
      </c>
      <c r="C36" s="2"/>
      <c r="D36" s="2"/>
      <c r="E36" s="9"/>
      <c r="F36" s="5"/>
    </row>
    <row r="37" spans="2:6">
      <c r="B37" s="2">
        <v>617</v>
      </c>
      <c r="C37" s="2"/>
      <c r="D37" s="2"/>
      <c r="E37" s="5">
        <f>+E32+E34+E35</f>
        <v>-28.063888571428578</v>
      </c>
      <c r="F37" s="5"/>
    </row>
    <row r="38" spans="2:6">
      <c r="B38" s="2"/>
      <c r="C38" s="2"/>
      <c r="D38" s="2"/>
      <c r="E38" s="5"/>
      <c r="F38" s="5"/>
    </row>
    <row r="39" spans="2:6">
      <c r="B39" s="2" t="s">
        <v>12</v>
      </c>
      <c r="C39" s="2"/>
      <c r="D39" s="2"/>
      <c r="E39" s="5">
        <f>+E38</f>
        <v>0</v>
      </c>
      <c r="F39" s="2"/>
    </row>
    <row r="40" spans="2:6">
      <c r="B40" s="2"/>
      <c r="C40" s="2"/>
      <c r="D40" s="2"/>
      <c r="E40" s="2"/>
      <c r="F40" s="2"/>
    </row>
    <row r="41" spans="2:6">
      <c r="B41" s="2" t="s">
        <v>13</v>
      </c>
      <c r="C41" s="5"/>
      <c r="D41" s="2"/>
      <c r="E41" s="5"/>
      <c r="F41" s="2"/>
    </row>
    <row r="42" spans="2:6">
      <c r="B42" s="2"/>
      <c r="C42" s="2">
        <v>309</v>
      </c>
      <c r="D42" s="5"/>
      <c r="E42" s="2">
        <f>+D42*1%</f>
        <v>0</v>
      </c>
      <c r="F42" s="2"/>
    </row>
    <row r="43" spans="2:6">
      <c r="B43" s="2"/>
      <c r="C43" s="2">
        <v>344</v>
      </c>
      <c r="D43" s="5">
        <f>+D18</f>
        <v>18.899999999999999</v>
      </c>
      <c r="E43" s="2">
        <f>+D43*2%</f>
        <v>0.378</v>
      </c>
      <c r="F43" s="2"/>
    </row>
    <row r="44" spans="2:6">
      <c r="B44" s="2"/>
      <c r="C44" s="2">
        <v>332</v>
      </c>
      <c r="D44" s="5">
        <f>+C22+D22-D18</f>
        <v>608.58000000000004</v>
      </c>
      <c r="E44" s="5"/>
      <c r="F44" s="2"/>
    </row>
    <row r="45" spans="2:6">
      <c r="B45" s="2"/>
      <c r="C45" s="2"/>
      <c r="D45" s="5">
        <f>SUM(D42:D44)</f>
        <v>627.48</v>
      </c>
      <c r="E45" s="2">
        <f>SUM(E42:E44)</f>
        <v>0.378</v>
      </c>
      <c r="F45" s="2"/>
    </row>
    <row r="46" spans="2:6">
      <c r="B46" s="2"/>
      <c r="C46" s="2"/>
      <c r="D46" s="2"/>
      <c r="E46" s="2"/>
      <c r="F46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pane ySplit="1" topLeftCell="A47" activePane="bottomLeft" state="frozen"/>
      <selection pane="bottomLeft" activeCell="A69" sqref="A69:XFD69"/>
    </sheetView>
  </sheetViews>
  <sheetFormatPr baseColWidth="10" defaultRowHeight="12.75"/>
  <cols>
    <col min="1" max="1" width="11.42578125" style="3"/>
    <col min="2" max="2" width="20.28515625" style="3" bestFit="1" customWidth="1"/>
    <col min="3" max="5" width="11.42578125" style="3"/>
    <col min="6" max="16384" width="11.42578125" style="2"/>
  </cols>
  <sheetData>
    <row r="1" spans="1:7">
      <c r="A1" s="3" t="s">
        <v>167</v>
      </c>
      <c r="B1" s="3" t="s">
        <v>168</v>
      </c>
      <c r="D1" s="3" t="s">
        <v>169</v>
      </c>
      <c r="E1" s="3" t="s">
        <v>170</v>
      </c>
    </row>
    <row r="2" spans="1:7">
      <c r="A2" s="42" t="s">
        <v>174</v>
      </c>
      <c r="B2" s="43"/>
      <c r="C2" s="43"/>
      <c r="D2" s="43"/>
      <c r="E2" s="43"/>
      <c r="F2" s="43"/>
      <c r="G2" s="43"/>
    </row>
    <row r="3" spans="1:7">
      <c r="A3" s="44">
        <v>43497</v>
      </c>
      <c r="B3" s="43" t="s">
        <v>25</v>
      </c>
      <c r="C3" s="43"/>
      <c r="D3" s="45">
        <v>53.05</v>
      </c>
      <c r="E3" s="43" t="s">
        <v>30</v>
      </c>
      <c r="F3" s="43"/>
      <c r="G3" s="43"/>
    </row>
    <row r="4" spans="1:7">
      <c r="A4" s="44">
        <v>43497</v>
      </c>
      <c r="B4" s="43" t="s">
        <v>27</v>
      </c>
      <c r="C4" s="43"/>
      <c r="D4" s="45">
        <v>160.71</v>
      </c>
      <c r="E4" s="43" t="s">
        <v>28</v>
      </c>
      <c r="F4" s="43"/>
      <c r="G4" s="43"/>
    </row>
    <row r="5" spans="1:7">
      <c r="A5" s="44">
        <v>43717</v>
      </c>
      <c r="B5" s="43" t="s">
        <v>115</v>
      </c>
      <c r="C5" s="43"/>
      <c r="D5" s="43">
        <v>197</v>
      </c>
      <c r="E5" s="43" t="s">
        <v>116</v>
      </c>
      <c r="F5" s="43"/>
      <c r="G5" s="43"/>
    </row>
    <row r="6" spans="1:7">
      <c r="A6" s="44">
        <v>43818</v>
      </c>
      <c r="B6" s="43" t="s">
        <v>14</v>
      </c>
      <c r="C6" s="43"/>
      <c r="D6" s="43">
        <v>100</v>
      </c>
      <c r="E6" s="43" t="s">
        <v>162</v>
      </c>
      <c r="F6" s="43"/>
      <c r="G6" s="43"/>
    </row>
    <row r="7" spans="1:7">
      <c r="A7" s="44">
        <v>43664</v>
      </c>
      <c r="B7" s="43" t="s">
        <v>81</v>
      </c>
      <c r="C7" s="43"/>
      <c r="D7" s="43">
        <v>2.97</v>
      </c>
      <c r="E7" s="43" t="s">
        <v>82</v>
      </c>
      <c r="F7" s="43"/>
      <c r="G7" s="43"/>
    </row>
    <row r="8" spans="1:7">
      <c r="A8" s="44">
        <v>43664</v>
      </c>
      <c r="B8" s="43" t="s">
        <v>83</v>
      </c>
      <c r="C8" s="43"/>
      <c r="D8" s="43">
        <v>6.29</v>
      </c>
      <c r="E8" s="43" t="s">
        <v>82</v>
      </c>
      <c r="F8" s="43"/>
      <c r="G8" s="43"/>
    </row>
    <row r="9" spans="1:7">
      <c r="A9" s="44">
        <v>43684</v>
      </c>
      <c r="B9" s="43" t="s">
        <v>89</v>
      </c>
      <c r="C9" s="43"/>
      <c r="D9" s="43">
        <v>7.18</v>
      </c>
      <c r="E9" s="43" t="s">
        <v>82</v>
      </c>
      <c r="F9" s="43"/>
      <c r="G9" s="43"/>
    </row>
    <row r="10" spans="1:7">
      <c r="A10" s="44">
        <v>43691</v>
      </c>
      <c r="B10" s="43" t="s">
        <v>92</v>
      </c>
      <c r="C10" s="43"/>
      <c r="D10" s="43">
        <v>4.29</v>
      </c>
      <c r="E10" s="43" t="s">
        <v>82</v>
      </c>
      <c r="F10" s="43"/>
      <c r="G10" s="43"/>
    </row>
    <row r="11" spans="1:7">
      <c r="A11" s="44">
        <v>43717</v>
      </c>
      <c r="B11" s="43" t="s">
        <v>102</v>
      </c>
      <c r="C11" s="43"/>
      <c r="D11" s="43">
        <v>8.2899999999999991</v>
      </c>
      <c r="E11" s="43" t="s">
        <v>82</v>
      </c>
      <c r="F11" s="43"/>
      <c r="G11" s="43"/>
    </row>
    <row r="12" spans="1:7">
      <c r="A12" s="44">
        <v>43560</v>
      </c>
      <c r="B12" s="43" t="s">
        <v>47</v>
      </c>
      <c r="C12" s="43"/>
      <c r="D12" s="43">
        <v>7.29</v>
      </c>
      <c r="E12" s="43" t="s">
        <v>48</v>
      </c>
      <c r="F12" s="43"/>
      <c r="G12" s="43"/>
    </row>
    <row r="13" spans="1:7">
      <c r="A13" s="44">
        <v>43560</v>
      </c>
      <c r="B13" s="43" t="s">
        <v>49</v>
      </c>
      <c r="C13" s="43"/>
      <c r="D13" s="43">
        <v>7.18</v>
      </c>
      <c r="E13" s="43" t="s">
        <v>48</v>
      </c>
      <c r="F13" s="43"/>
      <c r="G13" s="43"/>
    </row>
    <row r="14" spans="1:7">
      <c r="A14" s="44">
        <v>43560</v>
      </c>
      <c r="B14" s="43" t="s">
        <v>50</v>
      </c>
      <c r="C14" s="43"/>
      <c r="D14" s="43">
        <v>7.18</v>
      </c>
      <c r="E14" s="43" t="s">
        <v>48</v>
      </c>
      <c r="F14" s="43"/>
      <c r="G14" s="43"/>
    </row>
    <row r="15" spans="1:7">
      <c r="A15" s="44">
        <v>43804</v>
      </c>
      <c r="B15" s="43" t="s">
        <v>164</v>
      </c>
      <c r="C15" s="43"/>
      <c r="D15" s="43">
        <v>7.18</v>
      </c>
      <c r="E15" s="43" t="s">
        <v>48</v>
      </c>
      <c r="F15" s="43"/>
      <c r="G15" s="43"/>
    </row>
    <row r="16" spans="1:7">
      <c r="A16" s="44"/>
      <c r="B16" s="43"/>
      <c r="C16" s="43"/>
      <c r="D16" s="43"/>
      <c r="E16" s="43"/>
      <c r="F16" s="43"/>
      <c r="G16" s="43"/>
    </row>
    <row r="17" spans="1:7">
      <c r="A17" s="43"/>
      <c r="B17" s="46" t="s">
        <v>72</v>
      </c>
      <c r="C17" s="47"/>
      <c r="D17" s="48">
        <f>SUM(D3:D16)</f>
        <v>568.60999999999967</v>
      </c>
      <c r="E17" s="43"/>
      <c r="F17" s="43"/>
      <c r="G17" s="43"/>
    </row>
    <row r="18" spans="1:7">
      <c r="A18" s="43"/>
      <c r="B18" s="134"/>
      <c r="C18" s="134"/>
      <c r="D18" s="135"/>
      <c r="E18" s="43"/>
      <c r="F18" s="43"/>
      <c r="G18" s="43"/>
    </row>
    <row r="19" spans="1:7">
      <c r="A19" s="136" t="s">
        <v>33</v>
      </c>
      <c r="B19" s="134"/>
      <c r="C19" s="134"/>
      <c r="D19" s="135"/>
      <c r="E19" s="43"/>
      <c r="F19" s="43"/>
      <c r="G19" s="43"/>
    </row>
    <row r="20" spans="1:7">
      <c r="A20" s="44">
        <v>43497</v>
      </c>
      <c r="B20" s="43" t="s">
        <v>32</v>
      </c>
      <c r="C20" s="43"/>
      <c r="D20" s="45">
        <v>60</v>
      </c>
      <c r="E20" s="43" t="s">
        <v>33</v>
      </c>
      <c r="F20" s="43"/>
      <c r="G20" s="43"/>
    </row>
    <row r="21" spans="1:7">
      <c r="A21" s="44">
        <v>43567</v>
      </c>
      <c r="B21" s="43" t="s">
        <v>52</v>
      </c>
      <c r="C21" s="43"/>
      <c r="D21" s="43">
        <v>108.39</v>
      </c>
      <c r="E21" s="43" t="s">
        <v>33</v>
      </c>
      <c r="F21" s="43"/>
      <c r="G21" s="43"/>
    </row>
    <row r="22" spans="1:7">
      <c r="A22" s="44">
        <v>43699</v>
      </c>
      <c r="B22" s="43" t="s">
        <v>95</v>
      </c>
      <c r="C22" s="43"/>
      <c r="D22" s="45">
        <v>100</v>
      </c>
      <c r="E22" s="43" t="s">
        <v>94</v>
      </c>
      <c r="F22" s="43"/>
      <c r="G22" s="43"/>
    </row>
    <row r="23" spans="1:7">
      <c r="A23" s="44">
        <v>43789</v>
      </c>
      <c r="B23" s="43" t="s">
        <v>120</v>
      </c>
      <c r="C23" s="43"/>
      <c r="D23" s="45">
        <v>100</v>
      </c>
      <c r="E23" s="43" t="s">
        <v>121</v>
      </c>
      <c r="F23" s="43"/>
    </row>
    <row r="24" spans="1:7">
      <c r="B24" s="46" t="s">
        <v>72</v>
      </c>
      <c r="C24" s="47"/>
      <c r="D24" s="48">
        <f>SUM(D20:D23)</f>
        <v>368.39</v>
      </c>
    </row>
    <row r="26" spans="1:7">
      <c r="A26" s="49" t="s">
        <v>175</v>
      </c>
      <c r="B26" s="49"/>
      <c r="C26" s="49"/>
      <c r="D26" s="49"/>
      <c r="E26" s="49"/>
      <c r="F26" s="49"/>
    </row>
    <row r="27" spans="1:7">
      <c r="A27" s="50">
        <v>43558</v>
      </c>
      <c r="B27" s="49" t="s">
        <v>43</v>
      </c>
      <c r="C27" s="49"/>
      <c r="D27" s="51">
        <v>18.2</v>
      </c>
      <c r="E27" s="49" t="s">
        <v>44</v>
      </c>
      <c r="F27" s="49"/>
    </row>
    <row r="28" spans="1:7">
      <c r="A28" s="52" t="s">
        <v>166</v>
      </c>
      <c r="B28" s="49" t="s">
        <v>67</v>
      </c>
      <c r="C28" s="49"/>
      <c r="D28" s="51">
        <v>119.68</v>
      </c>
      <c r="E28" s="49" t="s">
        <v>44</v>
      </c>
      <c r="F28" s="49"/>
    </row>
    <row r="29" spans="1:7">
      <c r="A29" s="52" t="s">
        <v>166</v>
      </c>
      <c r="B29" s="49" t="s">
        <v>70</v>
      </c>
      <c r="C29" s="49"/>
      <c r="D29" s="51">
        <v>44.8</v>
      </c>
      <c r="E29" s="49" t="s">
        <v>44</v>
      </c>
      <c r="F29" s="49"/>
    </row>
    <row r="30" spans="1:7">
      <c r="A30" s="50">
        <v>43745</v>
      </c>
      <c r="B30" s="49" t="s">
        <v>118</v>
      </c>
      <c r="C30" s="49"/>
      <c r="D30" s="51">
        <v>47.02</v>
      </c>
      <c r="E30" s="49" t="s">
        <v>44</v>
      </c>
      <c r="F30" s="49"/>
    </row>
    <row r="31" spans="1:7">
      <c r="A31" s="50">
        <v>43767</v>
      </c>
      <c r="B31" s="49" t="s">
        <v>117</v>
      </c>
      <c r="C31" s="49"/>
      <c r="D31" s="49">
        <v>16.47</v>
      </c>
      <c r="E31" s="49" t="s">
        <v>44</v>
      </c>
      <c r="F31" s="49"/>
    </row>
    <row r="32" spans="1:7">
      <c r="A32" s="50">
        <v>43807</v>
      </c>
      <c r="B32" s="49" t="s">
        <v>165</v>
      </c>
      <c r="C32" s="49"/>
      <c r="D32" s="51">
        <v>18.899999999999999</v>
      </c>
      <c r="E32" s="49" t="s">
        <v>44</v>
      </c>
      <c r="F32" s="49"/>
    </row>
    <row r="33" spans="1:6">
      <c r="A33" s="50">
        <v>43675</v>
      </c>
      <c r="B33" s="49" t="s">
        <v>84</v>
      </c>
      <c r="C33" s="49"/>
      <c r="D33" s="51">
        <v>71.63</v>
      </c>
      <c r="E33" s="49" t="s">
        <v>132</v>
      </c>
      <c r="F33" s="49"/>
    </row>
    <row r="34" spans="1:6" ht="14.25" customHeight="1">
      <c r="A34" s="50">
        <v>43675</v>
      </c>
      <c r="B34" s="49" t="s">
        <v>85</v>
      </c>
      <c r="C34" s="49"/>
      <c r="D34" s="51">
        <v>101.27</v>
      </c>
      <c r="E34" s="49" t="s">
        <v>132</v>
      </c>
      <c r="F34" s="49"/>
    </row>
    <row r="35" spans="1:6">
      <c r="A35" s="50">
        <v>43781</v>
      </c>
      <c r="B35" s="49" t="s">
        <v>131</v>
      </c>
      <c r="C35" s="49"/>
      <c r="D35" s="51">
        <v>109.7</v>
      </c>
      <c r="E35" s="49" t="s">
        <v>132</v>
      </c>
      <c r="F35" s="49"/>
    </row>
    <row r="36" spans="1:6">
      <c r="A36" s="50">
        <v>43815</v>
      </c>
      <c r="B36" s="49" t="s">
        <v>161</v>
      </c>
      <c r="C36" s="49"/>
      <c r="D36" s="51">
        <v>156.72</v>
      </c>
      <c r="E36" s="49" t="s">
        <v>132</v>
      </c>
      <c r="F36" s="49"/>
    </row>
    <row r="37" spans="1:6">
      <c r="A37" s="49"/>
      <c r="B37" s="53" t="s">
        <v>72</v>
      </c>
      <c r="C37" s="54"/>
      <c r="D37" s="55">
        <f>SUM(D27:D36)</f>
        <v>704.39</v>
      </c>
      <c r="E37" s="49"/>
      <c r="F37" s="49"/>
    </row>
    <row r="38" spans="1:6">
      <c r="A38" s="2"/>
      <c r="B38" s="2"/>
      <c r="C38" s="2"/>
      <c r="D38" s="2"/>
      <c r="E38" s="2"/>
    </row>
    <row r="40" spans="1:6">
      <c r="A40" s="56" t="s">
        <v>107</v>
      </c>
      <c r="B40" s="56"/>
      <c r="C40" s="56"/>
      <c r="D40" s="56"/>
      <c r="E40" s="56"/>
      <c r="F40" s="56"/>
    </row>
    <row r="41" spans="1:6">
      <c r="A41" s="56"/>
      <c r="B41" s="56"/>
      <c r="C41" s="56"/>
      <c r="D41" s="56"/>
      <c r="E41" s="56"/>
      <c r="F41" s="56"/>
    </row>
    <row r="42" spans="1:6">
      <c r="A42" s="57">
        <v>43731</v>
      </c>
      <c r="B42" s="58" t="s">
        <v>106</v>
      </c>
      <c r="C42" s="56"/>
      <c r="D42" s="59">
        <v>25</v>
      </c>
      <c r="E42" s="56" t="s">
        <v>107</v>
      </c>
      <c r="F42" s="56"/>
    </row>
    <row r="43" spans="1:6">
      <c r="A43" s="57">
        <v>43739</v>
      </c>
      <c r="B43" s="56" t="s">
        <v>108</v>
      </c>
      <c r="C43" s="56"/>
      <c r="D43" s="59">
        <f>52.65+0.45</f>
        <v>53.1</v>
      </c>
      <c r="E43" s="56" t="s">
        <v>107</v>
      </c>
      <c r="F43" s="56"/>
    </row>
    <row r="44" spans="1:6">
      <c r="A44" s="57">
        <v>43761</v>
      </c>
      <c r="B44" s="56" t="s">
        <v>119</v>
      </c>
      <c r="C44" s="56"/>
      <c r="D44" s="59">
        <v>19.64</v>
      </c>
      <c r="E44" s="56" t="s">
        <v>107</v>
      </c>
      <c r="F44" s="56"/>
    </row>
    <row r="45" spans="1:6">
      <c r="A45" s="56"/>
      <c r="B45" s="60" t="s">
        <v>72</v>
      </c>
      <c r="C45" s="61"/>
      <c r="D45" s="62">
        <f>SUM(D42:D44)</f>
        <v>97.74</v>
      </c>
      <c r="E45" s="56"/>
      <c r="F45" s="56"/>
    </row>
    <row r="46" spans="1:6">
      <c r="A46" s="2"/>
      <c r="B46" s="2"/>
      <c r="C46" s="2"/>
      <c r="D46" s="2"/>
      <c r="E46" s="2"/>
    </row>
    <row r="47" spans="1:6">
      <c r="A47" s="2"/>
      <c r="B47" s="2"/>
      <c r="C47" s="2"/>
      <c r="D47" s="2"/>
      <c r="E47" s="2"/>
    </row>
    <row r="48" spans="1:6">
      <c r="A48" s="2"/>
      <c r="B48" s="2"/>
      <c r="C48" s="2"/>
      <c r="D48" s="2"/>
      <c r="E48" s="2"/>
    </row>
    <row r="49" spans="1:7">
      <c r="A49" s="63" t="s">
        <v>176</v>
      </c>
      <c r="B49" s="63"/>
      <c r="C49" s="63"/>
      <c r="D49" s="63"/>
      <c r="E49" s="63"/>
      <c r="F49" s="63"/>
      <c r="G49" s="63"/>
    </row>
    <row r="50" spans="1:7">
      <c r="A50" s="63"/>
      <c r="B50" s="63"/>
      <c r="C50" s="63"/>
      <c r="D50" s="63"/>
      <c r="E50" s="63"/>
      <c r="F50" s="63"/>
      <c r="G50" s="63"/>
    </row>
    <row r="51" spans="1:7">
      <c r="A51" s="64">
        <v>43474</v>
      </c>
      <c r="B51" s="63" t="s">
        <v>20</v>
      </c>
      <c r="C51" s="63"/>
      <c r="D51" s="65">
        <v>18.11</v>
      </c>
      <c r="E51" s="63" t="s">
        <v>6</v>
      </c>
      <c r="F51" s="63"/>
      <c r="G51" s="63"/>
    </row>
    <row r="52" spans="1:7">
      <c r="A52" s="64">
        <v>43497</v>
      </c>
      <c r="B52" s="63" t="s">
        <v>29</v>
      </c>
      <c r="C52" s="63"/>
      <c r="D52" s="65">
        <v>28.44</v>
      </c>
      <c r="E52" s="63" t="s">
        <v>6</v>
      </c>
      <c r="F52" s="63"/>
      <c r="G52" s="63"/>
    </row>
    <row r="53" spans="1:7">
      <c r="A53" s="64">
        <v>43536</v>
      </c>
      <c r="B53" s="63" t="s">
        <v>39</v>
      </c>
      <c r="C53" s="63"/>
      <c r="D53" s="65">
        <v>11.63</v>
      </c>
      <c r="E53" s="63" t="s">
        <v>6</v>
      </c>
      <c r="F53" s="63"/>
      <c r="G53" s="63"/>
    </row>
    <row r="54" spans="1:7">
      <c r="A54" s="64">
        <v>43563</v>
      </c>
      <c r="B54" s="63" t="s">
        <v>51</v>
      </c>
      <c r="C54" s="63"/>
      <c r="D54" s="65">
        <v>7.84</v>
      </c>
      <c r="E54" s="63" t="s">
        <v>6</v>
      </c>
      <c r="F54" s="63"/>
      <c r="G54" s="63"/>
    </row>
    <row r="55" spans="1:7">
      <c r="A55" s="64">
        <v>43595</v>
      </c>
      <c r="B55" s="63" t="s">
        <v>63</v>
      </c>
      <c r="C55" s="63"/>
      <c r="D55" s="65">
        <v>7.84</v>
      </c>
      <c r="E55" s="63" t="s">
        <v>6</v>
      </c>
      <c r="F55" s="63"/>
      <c r="G55" s="63"/>
    </row>
    <row r="56" spans="1:7">
      <c r="A56" s="66" t="s">
        <v>166</v>
      </c>
      <c r="B56" s="63" t="s">
        <v>68</v>
      </c>
      <c r="C56" s="63"/>
      <c r="D56" s="65">
        <v>6.93</v>
      </c>
      <c r="E56" s="63" t="s">
        <v>6</v>
      </c>
      <c r="F56" s="63"/>
      <c r="G56" s="63"/>
    </row>
    <row r="57" spans="1:7">
      <c r="A57" s="64">
        <v>43654</v>
      </c>
      <c r="B57" s="63" t="s">
        <v>78</v>
      </c>
      <c r="C57" s="63"/>
      <c r="D57" s="65">
        <v>9.93</v>
      </c>
      <c r="E57" s="63" t="s">
        <v>6</v>
      </c>
      <c r="F57" s="63"/>
      <c r="G57" s="63"/>
    </row>
    <row r="58" spans="1:7">
      <c r="A58" s="64">
        <v>43654</v>
      </c>
      <c r="B58" s="63" t="s">
        <v>90</v>
      </c>
      <c r="C58" s="63"/>
      <c r="D58" s="65">
        <v>9.93</v>
      </c>
      <c r="E58" s="63" t="s">
        <v>6</v>
      </c>
      <c r="F58" s="63"/>
      <c r="G58" s="63"/>
    </row>
    <row r="59" spans="1:7">
      <c r="A59" s="64">
        <v>43717</v>
      </c>
      <c r="B59" s="63" t="s">
        <v>103</v>
      </c>
      <c r="C59" s="63"/>
      <c r="D59" s="65">
        <v>14.16</v>
      </c>
      <c r="E59" s="63" t="s">
        <v>6</v>
      </c>
      <c r="F59" s="63"/>
      <c r="G59" s="63"/>
    </row>
    <row r="60" spans="1:7">
      <c r="A60" s="64">
        <v>43717</v>
      </c>
      <c r="B60" s="63" t="s">
        <v>113</v>
      </c>
      <c r="C60" s="63"/>
      <c r="D60" s="65">
        <v>12.57</v>
      </c>
      <c r="E60" s="63" t="s">
        <v>6</v>
      </c>
      <c r="F60" s="63"/>
      <c r="G60" s="63"/>
    </row>
    <row r="61" spans="1:7">
      <c r="A61" s="64">
        <v>43781</v>
      </c>
      <c r="B61" s="63" t="s">
        <v>133</v>
      </c>
      <c r="C61" s="63"/>
      <c r="D61" s="65">
        <v>9.2799999999999994</v>
      </c>
      <c r="E61" s="63" t="s">
        <v>6</v>
      </c>
      <c r="F61" s="63"/>
      <c r="G61" s="63"/>
    </row>
    <row r="62" spans="1:7">
      <c r="A62" s="64">
        <v>43809</v>
      </c>
      <c r="B62" s="63" t="s">
        <v>160</v>
      </c>
      <c r="C62" s="63"/>
      <c r="D62" s="65">
        <v>12.42</v>
      </c>
      <c r="E62" s="63" t="s">
        <v>6</v>
      </c>
      <c r="F62" s="63"/>
      <c r="G62" s="63"/>
    </row>
    <row r="63" spans="1:7">
      <c r="A63" s="63"/>
      <c r="B63" s="67" t="s">
        <v>72</v>
      </c>
      <c r="C63" s="68"/>
      <c r="D63" s="69">
        <f>SUM(D51:D62)</f>
        <v>149.07999999999998</v>
      </c>
      <c r="E63" s="63"/>
      <c r="F63" s="63"/>
      <c r="G63" s="63"/>
    </row>
    <row r="64" spans="1:7">
      <c r="A64" s="63"/>
      <c r="B64" s="70"/>
      <c r="C64" s="70"/>
      <c r="D64" s="71"/>
      <c r="E64" s="63"/>
      <c r="F64" s="63"/>
      <c r="G64" s="63"/>
    </row>
    <row r="66" spans="1:6">
      <c r="A66" s="72" t="s">
        <v>177</v>
      </c>
      <c r="B66" s="72"/>
      <c r="C66" s="72"/>
      <c r="D66" s="72"/>
      <c r="E66" s="72"/>
      <c r="F66" s="72"/>
    </row>
    <row r="67" spans="1:6">
      <c r="A67" s="72"/>
      <c r="B67" s="72"/>
      <c r="C67" s="72"/>
      <c r="D67" s="72"/>
      <c r="E67" s="72"/>
      <c r="F67" s="72"/>
    </row>
    <row r="68" spans="1:6">
      <c r="A68" s="73">
        <v>43497</v>
      </c>
      <c r="B68" s="72" t="s">
        <v>26</v>
      </c>
      <c r="C68" s="72"/>
      <c r="D68" s="74">
        <v>88.21</v>
      </c>
      <c r="E68" s="72" t="s">
        <v>8</v>
      </c>
      <c r="F68" s="72"/>
    </row>
    <row r="69" spans="1:6">
      <c r="A69" s="73">
        <v>43538</v>
      </c>
      <c r="B69" s="72" t="s">
        <v>38</v>
      </c>
      <c r="C69" s="72"/>
      <c r="D69" s="72">
        <v>127.34</v>
      </c>
      <c r="E69" s="72" t="s">
        <v>8</v>
      </c>
      <c r="F69" s="72"/>
    </row>
    <row r="70" spans="1:6">
      <c r="A70" s="73">
        <v>43552</v>
      </c>
      <c r="B70" s="72" t="s">
        <v>40</v>
      </c>
      <c r="C70" s="72"/>
      <c r="D70" s="72">
        <v>26.94</v>
      </c>
      <c r="E70" s="72" t="s">
        <v>8</v>
      </c>
      <c r="F70" s="72"/>
    </row>
    <row r="71" spans="1:6">
      <c r="A71" s="73">
        <v>43580</v>
      </c>
      <c r="B71" s="72" t="s">
        <v>53</v>
      </c>
      <c r="C71" s="72"/>
      <c r="D71" s="72">
        <v>27.19</v>
      </c>
      <c r="E71" s="72" t="s">
        <v>61</v>
      </c>
      <c r="F71" s="72"/>
    </row>
    <row r="72" spans="1:6">
      <c r="A72" s="73">
        <v>43595</v>
      </c>
      <c r="B72" s="72" t="s">
        <v>60</v>
      </c>
      <c r="C72" s="72"/>
      <c r="D72" s="72">
        <v>110.45</v>
      </c>
      <c r="E72" s="72" t="s">
        <v>61</v>
      </c>
      <c r="F72" s="72"/>
    </row>
    <row r="73" spans="1:6">
      <c r="A73" s="73">
        <v>43611</v>
      </c>
      <c r="B73" s="72" t="s">
        <v>62</v>
      </c>
      <c r="C73" s="72"/>
      <c r="D73" s="72">
        <v>28.9</v>
      </c>
      <c r="E73" s="72" t="s">
        <v>61</v>
      </c>
      <c r="F73" s="72"/>
    </row>
    <row r="74" spans="1:6">
      <c r="A74" s="73">
        <v>43657</v>
      </c>
      <c r="B74" s="72" t="s">
        <v>79</v>
      </c>
      <c r="C74" s="72"/>
      <c r="D74" s="72">
        <v>118.49</v>
      </c>
      <c r="E74" s="72" t="s">
        <v>61</v>
      </c>
      <c r="F74" s="72"/>
    </row>
    <row r="75" spans="1:6">
      <c r="A75" s="73">
        <v>43672</v>
      </c>
      <c r="B75" s="72" t="s">
        <v>80</v>
      </c>
      <c r="C75" s="72"/>
      <c r="D75" s="72">
        <v>29.64</v>
      </c>
      <c r="E75" s="72" t="s">
        <v>61</v>
      </c>
      <c r="F75" s="72"/>
    </row>
    <row r="76" spans="1:6">
      <c r="A76" s="73">
        <v>43687</v>
      </c>
      <c r="B76" s="72" t="s">
        <v>91</v>
      </c>
      <c r="C76" s="72"/>
      <c r="D76" s="72">
        <v>114.6</v>
      </c>
      <c r="E76" s="72" t="s">
        <v>61</v>
      </c>
      <c r="F76" s="72"/>
    </row>
    <row r="77" spans="1:6">
      <c r="A77" s="73">
        <v>43700</v>
      </c>
      <c r="B77" s="72" t="s">
        <v>93</v>
      </c>
      <c r="C77" s="72"/>
      <c r="D77" s="72">
        <v>27.44</v>
      </c>
      <c r="E77" s="72" t="s">
        <v>61</v>
      </c>
      <c r="F77" s="72"/>
    </row>
    <row r="78" spans="1:6">
      <c r="A78" s="73">
        <v>43687</v>
      </c>
      <c r="B78" s="72" t="s">
        <v>104</v>
      </c>
      <c r="C78" s="72"/>
      <c r="D78" s="72">
        <v>110</v>
      </c>
      <c r="E78" s="72" t="s">
        <v>61</v>
      </c>
      <c r="F78" s="72"/>
    </row>
    <row r="79" spans="1:6">
      <c r="A79" s="73">
        <v>43700</v>
      </c>
      <c r="B79" s="72" t="s">
        <v>105</v>
      </c>
      <c r="C79" s="72"/>
      <c r="D79" s="72">
        <v>27.94</v>
      </c>
      <c r="E79" s="72" t="s">
        <v>61</v>
      </c>
      <c r="F79" s="72"/>
    </row>
    <row r="80" spans="1:6">
      <c r="A80" s="73">
        <v>43700</v>
      </c>
      <c r="B80" s="72" t="s">
        <v>114</v>
      </c>
      <c r="C80" s="72"/>
      <c r="D80" s="72">
        <v>27.44</v>
      </c>
      <c r="E80" s="72" t="s">
        <v>61</v>
      </c>
      <c r="F80" s="72"/>
    </row>
    <row r="81" spans="1:6">
      <c r="A81" s="73">
        <v>43777</v>
      </c>
      <c r="B81" s="75" t="s">
        <v>130</v>
      </c>
      <c r="C81" s="72"/>
      <c r="D81" s="72">
        <v>36.28</v>
      </c>
      <c r="E81" s="72" t="s">
        <v>61</v>
      </c>
      <c r="F81" s="72"/>
    </row>
    <row r="82" spans="1:6">
      <c r="A82" s="73">
        <v>43796</v>
      </c>
      <c r="B82" s="75" t="s">
        <v>134</v>
      </c>
      <c r="C82" s="72"/>
      <c r="D82" s="72">
        <v>28.59</v>
      </c>
      <c r="E82" s="72" t="s">
        <v>61</v>
      </c>
      <c r="F82" s="72"/>
    </row>
    <row r="83" spans="1:6">
      <c r="A83" s="73">
        <v>43822</v>
      </c>
      <c r="B83" s="72" t="s">
        <v>163</v>
      </c>
      <c r="C83" s="72"/>
      <c r="D83" s="72">
        <v>28.08</v>
      </c>
      <c r="E83" s="72" t="s">
        <v>61</v>
      </c>
      <c r="F83" s="72"/>
    </row>
    <row r="84" spans="1:6">
      <c r="A84" s="36">
        <v>43468</v>
      </c>
      <c r="B84" s="3" t="s">
        <v>15</v>
      </c>
      <c r="C84" s="4"/>
      <c r="D84" s="3">
        <v>95.85</v>
      </c>
      <c r="E84" s="3" t="s">
        <v>5</v>
      </c>
    </row>
    <row r="85" spans="1:6">
      <c r="A85" s="36">
        <v>43471</v>
      </c>
      <c r="B85" s="3" t="s">
        <v>16</v>
      </c>
      <c r="C85" s="4"/>
      <c r="D85" s="3">
        <v>18.149999999999999</v>
      </c>
      <c r="E85" s="3" t="s">
        <v>5</v>
      </c>
    </row>
    <row r="86" spans="1:6">
      <c r="A86" s="36">
        <v>43468</v>
      </c>
      <c r="B86" s="3" t="s">
        <v>17</v>
      </c>
      <c r="D86" s="3">
        <v>78.8</v>
      </c>
      <c r="E86" s="3" t="s">
        <v>5</v>
      </c>
    </row>
    <row r="87" spans="1:6">
      <c r="A87" s="36">
        <v>43497</v>
      </c>
      <c r="B87" s="3" t="s">
        <v>22</v>
      </c>
      <c r="D87" s="4">
        <v>90.96</v>
      </c>
      <c r="E87" s="3" t="s">
        <v>5</v>
      </c>
    </row>
    <row r="88" spans="1:6">
      <c r="A88" s="36">
        <v>43497</v>
      </c>
      <c r="B88" s="3" t="s">
        <v>23</v>
      </c>
      <c r="D88" s="4">
        <v>81.5</v>
      </c>
      <c r="E88" s="3" t="s">
        <v>5</v>
      </c>
    </row>
    <row r="89" spans="1:6">
      <c r="A89" s="36">
        <v>43497</v>
      </c>
      <c r="B89" s="3" t="s">
        <v>24</v>
      </c>
      <c r="D89" s="4">
        <v>15.88</v>
      </c>
      <c r="E89" s="3" t="s">
        <v>5</v>
      </c>
    </row>
    <row r="90" spans="1:6">
      <c r="A90" s="36">
        <v>43530</v>
      </c>
      <c r="B90" s="3" t="s">
        <v>35</v>
      </c>
      <c r="C90" s="4"/>
      <c r="D90" s="4">
        <v>16.34</v>
      </c>
      <c r="E90" s="3" t="s">
        <v>5</v>
      </c>
    </row>
    <row r="91" spans="1:6">
      <c r="A91" s="36">
        <v>43530</v>
      </c>
      <c r="B91" s="3" t="s">
        <v>36</v>
      </c>
      <c r="C91" s="4"/>
      <c r="D91" s="4">
        <v>78.849999999999994</v>
      </c>
      <c r="E91" s="3" t="s">
        <v>5</v>
      </c>
    </row>
    <row r="92" spans="1:6">
      <c r="A92" s="36">
        <v>43530</v>
      </c>
      <c r="B92" s="3" t="s">
        <v>37</v>
      </c>
      <c r="C92" s="4"/>
      <c r="D92" s="4">
        <v>90.11</v>
      </c>
      <c r="E92" s="3" t="s">
        <v>5</v>
      </c>
    </row>
    <row r="93" spans="1:6">
      <c r="A93" s="36">
        <v>43563</v>
      </c>
      <c r="B93" s="3" t="s">
        <v>45</v>
      </c>
      <c r="C93" s="4"/>
      <c r="D93" s="4">
        <v>78.8</v>
      </c>
      <c r="E93" s="3" t="s">
        <v>5</v>
      </c>
    </row>
    <row r="94" spans="1:6">
      <c r="A94" s="36">
        <v>43563</v>
      </c>
      <c r="B94" s="3" t="s">
        <v>46</v>
      </c>
      <c r="C94" s="4"/>
      <c r="D94" s="4">
        <v>14.04</v>
      </c>
      <c r="E94" s="3" t="s">
        <v>5</v>
      </c>
    </row>
    <row r="95" spans="1:6">
      <c r="A95" s="36">
        <v>43563</v>
      </c>
      <c r="B95" s="3" t="s">
        <v>37</v>
      </c>
      <c r="C95" s="4"/>
      <c r="D95" s="4">
        <v>94.87</v>
      </c>
      <c r="E95" s="3" t="s">
        <v>5</v>
      </c>
    </row>
    <row r="96" spans="1:6">
      <c r="A96" s="36">
        <v>43591</v>
      </c>
      <c r="B96" s="3" t="s">
        <v>57</v>
      </c>
      <c r="C96" s="4"/>
      <c r="D96" s="4">
        <v>14.27</v>
      </c>
      <c r="E96" s="3" t="s">
        <v>5</v>
      </c>
    </row>
    <row r="97" spans="1:5">
      <c r="A97" s="36">
        <v>43591</v>
      </c>
      <c r="B97" s="3" t="s">
        <v>58</v>
      </c>
      <c r="C97" s="4"/>
      <c r="D97" s="4">
        <v>78.900000000000006</v>
      </c>
      <c r="E97" s="3" t="s">
        <v>5</v>
      </c>
    </row>
    <row r="98" spans="1:5">
      <c r="A98" s="36">
        <v>43591</v>
      </c>
      <c r="B98" s="3" t="s">
        <v>59</v>
      </c>
      <c r="C98" s="4"/>
      <c r="D98" s="4">
        <v>93.63</v>
      </c>
      <c r="E98" s="3" t="s">
        <v>5</v>
      </c>
    </row>
    <row r="99" spans="1:5">
      <c r="A99" s="37" t="s">
        <v>166</v>
      </c>
      <c r="B99" s="3" t="s">
        <v>57</v>
      </c>
      <c r="C99" s="4"/>
      <c r="D99" s="4">
        <v>14.9</v>
      </c>
      <c r="E99" s="3" t="s">
        <v>5</v>
      </c>
    </row>
    <row r="100" spans="1:5">
      <c r="A100" s="37" t="s">
        <v>166</v>
      </c>
      <c r="B100" s="3" t="s">
        <v>65</v>
      </c>
      <c r="C100" s="4"/>
      <c r="D100" s="4">
        <v>78.900000000000006</v>
      </c>
      <c r="E100" s="3" t="s">
        <v>5</v>
      </c>
    </row>
    <row r="101" spans="1:5">
      <c r="A101" s="37" t="s">
        <v>166</v>
      </c>
      <c r="B101" s="3" t="s">
        <v>66</v>
      </c>
      <c r="C101" s="4"/>
      <c r="D101" s="4">
        <v>85.7</v>
      </c>
      <c r="E101" s="3" t="s">
        <v>5</v>
      </c>
    </row>
    <row r="102" spans="1:5">
      <c r="A102" s="36">
        <v>43652</v>
      </c>
      <c r="B102" s="3" t="s">
        <v>75</v>
      </c>
      <c r="C102" s="4"/>
      <c r="D102" s="4">
        <v>78.8</v>
      </c>
      <c r="E102" s="3" t="s">
        <v>5</v>
      </c>
    </row>
    <row r="103" spans="1:5">
      <c r="A103" s="36">
        <v>43652</v>
      </c>
      <c r="B103" s="3" t="s">
        <v>76</v>
      </c>
      <c r="C103" s="4"/>
      <c r="D103" s="4">
        <v>15.73</v>
      </c>
      <c r="E103" s="3" t="s">
        <v>5</v>
      </c>
    </row>
    <row r="104" spans="1:5">
      <c r="A104" s="36">
        <v>43652</v>
      </c>
      <c r="B104" s="3" t="s">
        <v>77</v>
      </c>
      <c r="C104" s="4"/>
      <c r="D104" s="4">
        <v>87.8</v>
      </c>
      <c r="E104" s="3" t="s">
        <v>5</v>
      </c>
    </row>
    <row r="105" spans="1:5">
      <c r="A105" s="36">
        <v>43683</v>
      </c>
      <c r="B105" s="3" t="s">
        <v>86</v>
      </c>
      <c r="C105" s="4"/>
      <c r="D105" s="4">
        <v>99.13</v>
      </c>
      <c r="E105" s="3" t="s">
        <v>5</v>
      </c>
    </row>
    <row r="106" spans="1:5">
      <c r="A106" s="36">
        <v>43683</v>
      </c>
      <c r="B106" s="3" t="s">
        <v>87</v>
      </c>
      <c r="C106" s="4"/>
      <c r="D106" s="4">
        <v>78.8</v>
      </c>
      <c r="E106" s="3" t="s">
        <v>5</v>
      </c>
    </row>
    <row r="107" spans="1:5">
      <c r="A107" s="36">
        <v>43683</v>
      </c>
      <c r="B107" s="3" t="s">
        <v>88</v>
      </c>
      <c r="C107" s="4"/>
      <c r="D107" s="4">
        <v>14.55</v>
      </c>
      <c r="E107" s="3" t="s">
        <v>5</v>
      </c>
    </row>
    <row r="108" spans="1:5">
      <c r="A108" s="36">
        <v>43714</v>
      </c>
      <c r="B108" s="3" t="s">
        <v>99</v>
      </c>
      <c r="C108" s="4"/>
      <c r="D108" s="4">
        <v>78.8</v>
      </c>
      <c r="E108" s="3" t="s">
        <v>5</v>
      </c>
    </row>
    <row r="109" spans="1:5">
      <c r="A109" s="36">
        <v>43714</v>
      </c>
      <c r="B109" s="3" t="s">
        <v>100</v>
      </c>
      <c r="C109" s="4"/>
      <c r="D109" s="4">
        <v>15.47</v>
      </c>
      <c r="E109" s="3" t="s">
        <v>5</v>
      </c>
    </row>
    <row r="110" spans="1:5">
      <c r="A110" s="36">
        <v>43714</v>
      </c>
      <c r="B110" s="3" t="s">
        <v>101</v>
      </c>
      <c r="C110" s="4"/>
      <c r="D110" s="4">
        <v>104.92</v>
      </c>
      <c r="E110" s="3" t="s">
        <v>5</v>
      </c>
    </row>
    <row r="111" spans="1:5">
      <c r="A111" s="36">
        <v>43743</v>
      </c>
      <c r="B111" s="3" t="s">
        <v>109</v>
      </c>
      <c r="C111" s="4"/>
      <c r="D111" s="4">
        <v>14.28</v>
      </c>
      <c r="E111" s="3" t="s">
        <v>5</v>
      </c>
    </row>
    <row r="112" spans="1:5">
      <c r="A112" s="36">
        <v>43743</v>
      </c>
      <c r="B112" s="3" t="s">
        <v>110</v>
      </c>
      <c r="C112" s="4"/>
      <c r="D112" s="4">
        <v>78.8</v>
      </c>
      <c r="E112" s="3" t="s">
        <v>5</v>
      </c>
    </row>
    <row r="113" spans="1:5">
      <c r="A113" s="36">
        <v>43743</v>
      </c>
      <c r="B113" s="3" t="s">
        <v>111</v>
      </c>
      <c r="C113" s="4"/>
      <c r="D113" s="4">
        <v>98.45</v>
      </c>
      <c r="E113" s="3" t="s">
        <v>5</v>
      </c>
    </row>
    <row r="114" spans="1:5">
      <c r="A114" s="36">
        <v>43775</v>
      </c>
      <c r="B114" s="3" t="s">
        <v>127</v>
      </c>
      <c r="C114" s="4"/>
      <c r="D114" s="4">
        <v>102.59</v>
      </c>
      <c r="E114" s="3" t="s">
        <v>5</v>
      </c>
    </row>
    <row r="115" spans="1:5">
      <c r="A115" s="36">
        <v>43775</v>
      </c>
      <c r="B115" s="3" t="s">
        <v>128</v>
      </c>
      <c r="C115" s="4"/>
      <c r="D115" s="4">
        <v>13.81</v>
      </c>
      <c r="E115" s="3" t="s">
        <v>5</v>
      </c>
    </row>
    <row r="116" spans="1:5">
      <c r="A116" s="36">
        <v>43775</v>
      </c>
      <c r="B116" s="3" t="s">
        <v>129</v>
      </c>
      <c r="C116" s="4"/>
      <c r="D116" s="4">
        <v>78.8</v>
      </c>
      <c r="E116" s="3" t="s">
        <v>5</v>
      </c>
    </row>
    <row r="117" spans="1:5">
      <c r="A117" s="36">
        <v>43804</v>
      </c>
      <c r="B117" s="3" t="s">
        <v>156</v>
      </c>
      <c r="C117" s="4"/>
      <c r="D117" s="4">
        <v>78.86</v>
      </c>
      <c r="E117" s="3" t="s">
        <v>5</v>
      </c>
    </row>
    <row r="118" spans="1:5">
      <c r="A118" s="36">
        <v>43802</v>
      </c>
      <c r="B118" s="3" t="s">
        <v>157</v>
      </c>
      <c r="C118" s="4"/>
      <c r="D118" s="4">
        <v>13.8</v>
      </c>
      <c r="E118" s="3" t="s">
        <v>5</v>
      </c>
    </row>
    <row r="119" spans="1:5">
      <c r="A119" s="36">
        <v>43802</v>
      </c>
      <c r="B119" s="3" t="s">
        <v>158</v>
      </c>
      <c r="C119" s="4"/>
      <c r="D119" s="4">
        <v>84.62</v>
      </c>
      <c r="E119" s="3" t="s">
        <v>5</v>
      </c>
    </row>
    <row r="120" spans="1:5">
      <c r="B120" s="39" t="s">
        <v>72</v>
      </c>
      <c r="C120" s="40"/>
      <c r="D120" s="41">
        <f>SUM(D68:D119)</f>
        <v>3215.9900000000016</v>
      </c>
    </row>
    <row r="122" spans="1:5">
      <c r="B122" s="3" t="s">
        <v>72</v>
      </c>
      <c r="D122" s="4">
        <f>+D120+D63+D45+D37+D17</f>
        <v>4735.8100000000013</v>
      </c>
    </row>
  </sheetData>
  <autoFilter ref="A1:E6"/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opLeftCell="A2" workbookViewId="0">
      <selection activeCell="F11" sqref="F11"/>
    </sheetView>
  </sheetViews>
  <sheetFormatPr baseColWidth="10" defaultRowHeight="15"/>
  <sheetData>
    <row r="2" spans="2:8">
      <c r="B2" t="s">
        <v>173</v>
      </c>
    </row>
    <row r="3" spans="2:8">
      <c r="B3" t="s">
        <v>172</v>
      </c>
      <c r="C3" s="38">
        <v>7639.09</v>
      </c>
      <c r="E3" t="s">
        <v>4</v>
      </c>
      <c r="F3" s="38">
        <v>4827.5200000000004</v>
      </c>
      <c r="H3" s="9"/>
    </row>
    <row r="6" spans="2:8">
      <c r="B6" s="26" t="s">
        <v>172</v>
      </c>
      <c r="C6" s="26"/>
      <c r="D6" s="26"/>
      <c r="E6" s="26" t="s">
        <v>4</v>
      </c>
    </row>
    <row r="7" spans="2:8">
      <c r="B7" t="s">
        <v>137</v>
      </c>
      <c r="C7">
        <v>470.4</v>
      </c>
      <c r="E7" t="s">
        <v>137</v>
      </c>
      <c r="F7">
        <v>210.91</v>
      </c>
    </row>
    <row r="8" spans="2:8">
      <c r="B8" t="s">
        <v>138</v>
      </c>
      <c r="C8">
        <v>91</v>
      </c>
      <c r="E8" t="s">
        <v>138</v>
      </c>
      <c r="F8">
        <v>605.30999999999995</v>
      </c>
    </row>
    <row r="9" spans="2:8">
      <c r="B9" t="s">
        <v>139</v>
      </c>
      <c r="C9">
        <v>1516.17</v>
      </c>
      <c r="E9" t="s">
        <v>139</v>
      </c>
      <c r="F9">
        <v>351.21</v>
      </c>
    </row>
    <row r="10" spans="2:8">
      <c r="B10" t="s">
        <v>140</v>
      </c>
      <c r="C10">
        <v>0.73</v>
      </c>
      <c r="E10" t="s">
        <v>140</v>
      </c>
      <c r="F10">
        <v>352.78</v>
      </c>
    </row>
    <row r="11" spans="2:8">
      <c r="B11" t="s">
        <v>141</v>
      </c>
      <c r="C11">
        <v>300</v>
      </c>
      <c r="E11" t="s">
        <v>141</v>
      </c>
      <c r="F11">
        <v>352.19</v>
      </c>
    </row>
    <row r="12" spans="2:8">
      <c r="B12" t="s">
        <v>142</v>
      </c>
      <c r="C12">
        <v>1040.8699999999999</v>
      </c>
      <c r="E12" t="s">
        <v>142</v>
      </c>
      <c r="F12">
        <v>492.45</v>
      </c>
    </row>
    <row r="13" spans="2:8">
      <c r="B13" t="s">
        <v>143</v>
      </c>
      <c r="C13">
        <v>723.3</v>
      </c>
      <c r="E13" t="s">
        <v>143</v>
      </c>
      <c r="F13">
        <v>192.26</v>
      </c>
    </row>
    <row r="14" spans="2:8">
      <c r="B14" t="s">
        <v>144</v>
      </c>
      <c r="C14">
        <v>564.29999999999995</v>
      </c>
      <c r="E14" t="s">
        <v>144</v>
      </c>
      <c r="F14">
        <v>628.83000000000004</v>
      </c>
    </row>
    <row r="15" spans="2:8">
      <c r="B15" t="s">
        <v>145</v>
      </c>
      <c r="C15">
        <v>235.08</v>
      </c>
      <c r="E15" t="s">
        <v>145</v>
      </c>
      <c r="F15">
        <v>384.59</v>
      </c>
    </row>
    <row r="16" spans="2:8">
      <c r="B16" t="s">
        <v>146</v>
      </c>
      <c r="C16">
        <v>548.52</v>
      </c>
      <c r="E16" t="s">
        <v>146</v>
      </c>
      <c r="F16">
        <v>777.94</v>
      </c>
    </row>
    <row r="17" spans="1:8">
      <c r="B17" t="s">
        <v>147</v>
      </c>
      <c r="C17" s="9">
        <f>+NOVIEMBRE!C7</f>
        <v>2148.7200000000003</v>
      </c>
      <c r="E17" t="s">
        <v>147</v>
      </c>
      <c r="F17" s="9">
        <f>+NOVIEMBRE!C21+NOVIEMBRE!D21</f>
        <v>479.05</v>
      </c>
    </row>
    <row r="18" spans="1:8">
      <c r="B18" t="s">
        <v>148</v>
      </c>
      <c r="C18" s="9">
        <f>+DICIEMBRE!C6</f>
        <v>1265.2</v>
      </c>
      <c r="E18" t="s">
        <v>148</v>
      </c>
      <c r="F18" s="9">
        <f>+DICIEMBRE!C22+DICIEMBRE!D22</f>
        <v>627.48</v>
      </c>
    </row>
    <row r="19" spans="1:8">
      <c r="A19" s="9"/>
      <c r="C19">
        <f>SUM(C7:C18)</f>
        <v>8904.2900000000009</v>
      </c>
      <c r="F19">
        <f>SUM(F7:F18)</f>
        <v>5455</v>
      </c>
      <c r="G19" s="9">
        <f>+GASTOS!D122</f>
        <v>4735.8100000000013</v>
      </c>
      <c r="H19" s="9"/>
    </row>
    <row r="20" spans="1:8">
      <c r="A20" s="9"/>
      <c r="F20" s="23">
        <f>+PERSONAL!P6</f>
        <v>3242.2051600000004</v>
      </c>
    </row>
    <row r="21" spans="1:8">
      <c r="C21">
        <f>+C19</f>
        <v>8904.2900000000009</v>
      </c>
      <c r="F21" s="23">
        <f>+F19+F20</f>
        <v>8697.2051600000013</v>
      </c>
      <c r="G21" s="23">
        <f>+C21-F21</f>
        <v>207.08483999999953</v>
      </c>
    </row>
    <row r="24" spans="1:8">
      <c r="A24" t="s">
        <v>13</v>
      </c>
      <c r="B24" s="9">
        <f>+ENERO!F2</f>
        <v>1.1840000000000002</v>
      </c>
    </row>
    <row r="25" spans="1:8">
      <c r="B25" s="9">
        <f>+FEBRERO!F5</f>
        <v>0.91</v>
      </c>
    </row>
    <row r="26" spans="1:8">
      <c r="B26" s="9">
        <f>+MARZO!F9</f>
        <v>15.666</v>
      </c>
    </row>
    <row r="27" spans="1:8">
      <c r="B27" s="9">
        <f>+MAYO!F5</f>
        <v>6</v>
      </c>
    </row>
    <row r="28" spans="1:8">
      <c r="B28" s="9">
        <f>+JUNIO!F7</f>
        <v>20.817399999999999</v>
      </c>
    </row>
    <row r="29" spans="1:8">
      <c r="B29" s="9">
        <f>+JULIO!F7</f>
        <v>14.466000000000001</v>
      </c>
    </row>
    <row r="30" spans="1:8">
      <c r="B30" s="9">
        <f>+AGOSTO!F7</f>
        <v>11.286</v>
      </c>
    </row>
    <row r="31" spans="1:8">
      <c r="B31" s="9">
        <f>+SEPTIEMBRE!F5</f>
        <v>2.3508</v>
      </c>
    </row>
    <row r="32" spans="1:8">
      <c r="B32" s="9">
        <f>+OCTUBRE!F5</f>
        <v>10.9704</v>
      </c>
    </row>
    <row r="33" spans="2:2">
      <c r="B33" s="9">
        <f>+NOVIEMBRE!F7</f>
        <v>42.974400000000003</v>
      </c>
    </row>
    <row r="34" spans="2:2">
      <c r="B34" s="9">
        <f>+DICIEMBRE!F6</f>
        <v>25.304000000000002</v>
      </c>
    </row>
    <row r="35" spans="2:2">
      <c r="B35" s="9">
        <f>SUM(B24:B34)</f>
        <v>151.929</v>
      </c>
    </row>
  </sheetData>
  <pageMargins left="0.7" right="0.7" top="0.75" bottom="0.75" header="0.3" footer="0.3"/>
  <pageSetup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D1" workbookViewId="0">
      <selection activeCell="U4" sqref="U4"/>
    </sheetView>
  </sheetViews>
  <sheetFormatPr baseColWidth="10" defaultRowHeight="15"/>
  <cols>
    <col min="1" max="1" width="2" bestFit="1" customWidth="1"/>
    <col min="2" max="2" width="10.42578125" customWidth="1"/>
    <col min="3" max="3" width="17.7109375" customWidth="1"/>
    <col min="4" max="15" width="8.5703125" customWidth="1"/>
    <col min="16" max="16" width="9.42578125" bestFit="1" customWidth="1"/>
    <col min="17" max="17" width="8.7109375" customWidth="1"/>
    <col min="18" max="18" width="9.5703125" customWidth="1"/>
    <col min="19" max="22" width="8.5703125" customWidth="1"/>
  </cols>
  <sheetData>
    <row r="1" spans="1:22"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  <c r="K1" t="s">
        <v>144</v>
      </c>
      <c r="L1" t="s">
        <v>145</v>
      </c>
      <c r="M1" t="s">
        <v>146</v>
      </c>
      <c r="N1" t="s">
        <v>147</v>
      </c>
      <c r="O1" t="s">
        <v>148</v>
      </c>
      <c r="P1" t="s">
        <v>72</v>
      </c>
      <c r="Q1" t="s">
        <v>149</v>
      </c>
      <c r="R1" s="31" t="s">
        <v>150</v>
      </c>
      <c r="S1" t="s">
        <v>151</v>
      </c>
      <c r="T1" t="s">
        <v>152</v>
      </c>
      <c r="U1" t="s">
        <v>153</v>
      </c>
      <c r="V1" s="31" t="s">
        <v>154</v>
      </c>
    </row>
    <row r="2" spans="1:22" ht="18">
      <c r="A2">
        <v>1</v>
      </c>
      <c r="B2" s="35">
        <v>1792476291001</v>
      </c>
      <c r="C2" s="32" t="s">
        <v>155</v>
      </c>
      <c r="D2" s="33">
        <v>197.02</v>
      </c>
      <c r="E2" s="33">
        <v>197.02</v>
      </c>
      <c r="F2" s="33">
        <v>197.02</v>
      </c>
      <c r="G2" s="33">
        <v>197.02</v>
      </c>
      <c r="H2" s="33">
        <v>197.02</v>
      </c>
      <c r="I2" s="33">
        <v>197.02</v>
      </c>
      <c r="J2" s="33">
        <v>197.02</v>
      </c>
      <c r="K2" s="33">
        <v>197.02</v>
      </c>
      <c r="L2" s="33">
        <v>197.02</v>
      </c>
      <c r="M2" s="33">
        <v>197.02</v>
      </c>
      <c r="N2" s="33">
        <v>197.02</v>
      </c>
      <c r="O2" s="33">
        <v>197.02</v>
      </c>
      <c r="P2" s="23">
        <f t="shared" ref="P2" si="0">SUM(D2:O2)</f>
        <v>2364.2400000000002</v>
      </c>
      <c r="Q2" s="33">
        <f t="shared" ref="Q2" si="1">+P2*12.15%</f>
        <v>287.25516000000005</v>
      </c>
      <c r="R2" s="34">
        <f t="shared" ref="R2" si="2">+P2/12</f>
        <v>197.02</v>
      </c>
      <c r="S2" s="33">
        <v>197</v>
      </c>
      <c r="T2" s="33">
        <v>196.69</v>
      </c>
      <c r="U2" s="33">
        <v>276.85000000000002</v>
      </c>
      <c r="V2" s="33">
        <f>+P2*9.45%</f>
        <v>223.42068</v>
      </c>
    </row>
    <row r="4" spans="1:22">
      <c r="D4" s="23">
        <f t="shared" ref="D4:R4" si="3">SUM(D2:D2)</f>
        <v>197.02</v>
      </c>
      <c r="E4" s="23">
        <f t="shared" si="3"/>
        <v>197.02</v>
      </c>
      <c r="F4" s="23">
        <f t="shared" si="3"/>
        <v>197.02</v>
      </c>
      <c r="G4" s="23">
        <f t="shared" si="3"/>
        <v>197.02</v>
      </c>
      <c r="H4" s="23">
        <f t="shared" si="3"/>
        <v>197.02</v>
      </c>
      <c r="I4" s="23">
        <f t="shared" si="3"/>
        <v>197.02</v>
      </c>
      <c r="J4" s="23">
        <f t="shared" si="3"/>
        <v>197.02</v>
      </c>
      <c r="K4" s="23">
        <f t="shared" si="3"/>
        <v>197.02</v>
      </c>
      <c r="L4" s="23">
        <f t="shared" si="3"/>
        <v>197.02</v>
      </c>
      <c r="M4" s="23">
        <f t="shared" si="3"/>
        <v>197.02</v>
      </c>
      <c r="N4" s="23">
        <f t="shared" si="3"/>
        <v>197.02</v>
      </c>
      <c r="O4" s="23">
        <f t="shared" si="3"/>
        <v>197.02</v>
      </c>
      <c r="P4" s="23">
        <f t="shared" si="3"/>
        <v>2364.2400000000002</v>
      </c>
      <c r="Q4" s="23">
        <f t="shared" si="3"/>
        <v>287.25516000000005</v>
      </c>
      <c r="R4" s="23">
        <f t="shared" si="3"/>
        <v>197.02</v>
      </c>
      <c r="S4" s="23">
        <f>SUM(S2:S3)</f>
        <v>197</v>
      </c>
      <c r="T4" s="23">
        <f>SUM(T2:T3)</f>
        <v>196.69</v>
      </c>
      <c r="U4" s="23">
        <f>+U2</f>
        <v>276.85000000000002</v>
      </c>
      <c r="V4" s="23">
        <f>SUM(V2:V3)</f>
        <v>223.42068</v>
      </c>
    </row>
    <row r="5" spans="1:22">
      <c r="P5" s="23"/>
    </row>
    <row r="6" spans="1:22">
      <c r="P6" s="23">
        <f>+P4+R4+S4+T4+Q4</f>
        <v>3242.2051600000004</v>
      </c>
    </row>
  </sheetData>
  <pageMargins left="0.7" right="0.7" top="0.75" bottom="0.75" header="0.3" footer="0.3"/>
  <pageSetup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H18" sqref="H18:H20"/>
    </sheetView>
  </sheetViews>
  <sheetFormatPr baseColWidth="10" defaultRowHeight="15"/>
  <sheetData>
    <row r="1" spans="1:8">
      <c r="A1" s="26" t="s">
        <v>178</v>
      </c>
      <c r="E1" t="s">
        <v>179</v>
      </c>
    </row>
    <row r="2" spans="1:8">
      <c r="A2" s="27" t="s">
        <v>180</v>
      </c>
      <c r="B2" s="27"/>
    </row>
    <row r="3" spans="1:8">
      <c r="A3" s="27" t="s">
        <v>181</v>
      </c>
      <c r="B3" s="27" t="s">
        <v>182</v>
      </c>
      <c r="C3" t="s">
        <v>183</v>
      </c>
      <c r="E3" s="76">
        <v>2016</v>
      </c>
      <c r="F3" s="76">
        <v>2017</v>
      </c>
      <c r="G3" s="76">
        <v>2018</v>
      </c>
      <c r="H3" s="76">
        <v>2019</v>
      </c>
    </row>
    <row r="4" spans="1:8">
      <c r="A4" t="s">
        <v>184</v>
      </c>
      <c r="C4">
        <v>3000</v>
      </c>
      <c r="E4">
        <f>+$C$4*5%</f>
        <v>150</v>
      </c>
      <c r="F4">
        <f>+$C$4*5%</f>
        <v>150</v>
      </c>
      <c r="G4">
        <f>+$C$4*5%</f>
        <v>150</v>
      </c>
    </row>
    <row r="5" spans="1:8">
      <c r="A5" t="s">
        <v>185</v>
      </c>
      <c r="C5">
        <v>3000</v>
      </c>
      <c r="E5">
        <f t="shared" ref="E5:E20" si="0">+C5*5%</f>
        <v>150</v>
      </c>
      <c r="F5">
        <v>150</v>
      </c>
      <c r="G5">
        <f>+C4*5%</f>
        <v>150</v>
      </c>
    </row>
    <row r="6" spans="1:8">
      <c r="A6" t="s">
        <v>186</v>
      </c>
      <c r="B6">
        <v>6</v>
      </c>
      <c r="C6">
        <v>700</v>
      </c>
      <c r="E6">
        <f t="shared" si="0"/>
        <v>35</v>
      </c>
      <c r="F6">
        <f t="shared" ref="F6:F12" si="1">+C6*5%</f>
        <v>35</v>
      </c>
      <c r="G6">
        <f t="shared" ref="G6:G20" si="2">+C5*5%</f>
        <v>150</v>
      </c>
    </row>
    <row r="7" spans="1:8">
      <c r="A7" t="s">
        <v>187</v>
      </c>
      <c r="C7">
        <v>500</v>
      </c>
      <c r="E7">
        <f t="shared" si="0"/>
        <v>25</v>
      </c>
      <c r="F7">
        <f t="shared" si="1"/>
        <v>25</v>
      </c>
      <c r="G7">
        <f t="shared" si="2"/>
        <v>35</v>
      </c>
    </row>
    <row r="8" spans="1:8">
      <c r="A8" t="s">
        <v>188</v>
      </c>
      <c r="C8">
        <v>1000</v>
      </c>
      <c r="E8">
        <f t="shared" si="0"/>
        <v>50</v>
      </c>
      <c r="F8">
        <f t="shared" si="1"/>
        <v>50</v>
      </c>
      <c r="G8">
        <f t="shared" si="2"/>
        <v>25</v>
      </c>
    </row>
    <row r="9" spans="1:8">
      <c r="A9" t="s">
        <v>189</v>
      </c>
      <c r="C9">
        <v>100</v>
      </c>
      <c r="E9">
        <f t="shared" si="0"/>
        <v>5</v>
      </c>
      <c r="F9">
        <f t="shared" si="1"/>
        <v>5</v>
      </c>
      <c r="G9">
        <f t="shared" si="2"/>
        <v>50</v>
      </c>
    </row>
    <row r="10" spans="1:8">
      <c r="A10" t="s">
        <v>190</v>
      </c>
      <c r="C10">
        <v>50</v>
      </c>
      <c r="E10">
        <f t="shared" si="0"/>
        <v>2.5</v>
      </c>
      <c r="F10">
        <f t="shared" si="1"/>
        <v>2.5</v>
      </c>
      <c r="G10">
        <f t="shared" si="2"/>
        <v>5</v>
      </c>
    </row>
    <row r="11" spans="1:8">
      <c r="A11" t="s">
        <v>191</v>
      </c>
      <c r="C11">
        <v>200</v>
      </c>
      <c r="E11">
        <f t="shared" si="0"/>
        <v>10</v>
      </c>
      <c r="F11">
        <f t="shared" si="1"/>
        <v>10</v>
      </c>
      <c r="G11">
        <f>+C10*5%</f>
        <v>2.5</v>
      </c>
    </row>
    <row r="12" spans="1:8">
      <c r="A12" s="26" t="s">
        <v>192</v>
      </c>
      <c r="B12" s="26"/>
      <c r="E12">
        <f t="shared" si="0"/>
        <v>0</v>
      </c>
      <c r="F12">
        <f t="shared" si="1"/>
        <v>0</v>
      </c>
      <c r="G12">
        <f t="shared" si="2"/>
        <v>10</v>
      </c>
    </row>
    <row r="13" spans="1:8">
      <c r="A13" t="s">
        <v>193</v>
      </c>
      <c r="C13">
        <v>1000</v>
      </c>
      <c r="E13">
        <f>+C13*5%</f>
        <v>50</v>
      </c>
      <c r="F13">
        <f>+C13*5%</f>
        <v>50</v>
      </c>
      <c r="G13">
        <f t="shared" si="2"/>
        <v>0</v>
      </c>
      <c r="H13">
        <f>+$C$13*5%</f>
        <v>50</v>
      </c>
    </row>
    <row r="14" spans="1:8">
      <c r="A14" t="s">
        <v>194</v>
      </c>
      <c r="C14">
        <v>7000</v>
      </c>
      <c r="E14">
        <f t="shared" si="0"/>
        <v>350</v>
      </c>
      <c r="F14">
        <f t="shared" ref="F14:F18" si="3">+C14*5%</f>
        <v>350</v>
      </c>
      <c r="G14">
        <f>+C13*5%</f>
        <v>50</v>
      </c>
      <c r="H14">
        <f>+$C$14*5%</f>
        <v>350</v>
      </c>
    </row>
    <row r="15" spans="1:8">
      <c r="A15" t="s">
        <v>193</v>
      </c>
      <c r="C15">
        <v>500</v>
      </c>
      <c r="E15">
        <f t="shared" si="0"/>
        <v>25</v>
      </c>
      <c r="F15">
        <f t="shared" si="3"/>
        <v>25</v>
      </c>
      <c r="G15">
        <f t="shared" si="2"/>
        <v>350</v>
      </c>
      <c r="H15">
        <f>+$C$15*5%</f>
        <v>25</v>
      </c>
    </row>
    <row r="16" spans="1:8">
      <c r="A16" t="s">
        <v>195</v>
      </c>
      <c r="C16">
        <v>2000</v>
      </c>
      <c r="E16">
        <f>+C16*5%</f>
        <v>100</v>
      </c>
      <c r="F16">
        <f>+C16*5%</f>
        <v>100</v>
      </c>
      <c r="G16">
        <f t="shared" si="2"/>
        <v>25</v>
      </c>
      <c r="H16">
        <f>+$C$16*5%</f>
        <v>100</v>
      </c>
    </row>
    <row r="17" spans="1:8">
      <c r="A17" s="26" t="s">
        <v>196</v>
      </c>
      <c r="B17" s="26"/>
      <c r="E17">
        <f t="shared" si="0"/>
        <v>0</v>
      </c>
      <c r="F17">
        <f t="shared" si="3"/>
        <v>0</v>
      </c>
      <c r="G17">
        <f t="shared" si="2"/>
        <v>100</v>
      </c>
    </row>
    <row r="18" spans="1:8">
      <c r="A18" t="s">
        <v>184</v>
      </c>
      <c r="C18">
        <v>2000</v>
      </c>
      <c r="E18">
        <f t="shared" si="0"/>
        <v>100</v>
      </c>
      <c r="F18">
        <f t="shared" si="3"/>
        <v>100</v>
      </c>
      <c r="G18">
        <f t="shared" si="2"/>
        <v>0</v>
      </c>
    </row>
    <row r="19" spans="1:8">
      <c r="A19" t="s">
        <v>194</v>
      </c>
      <c r="C19">
        <v>500</v>
      </c>
      <c r="E19">
        <f t="shared" si="0"/>
        <v>25</v>
      </c>
      <c r="F19">
        <f>+C19*5%</f>
        <v>25</v>
      </c>
      <c r="G19">
        <f>+C18*5%</f>
        <v>100</v>
      </c>
    </row>
    <row r="20" spans="1:8">
      <c r="A20" t="s">
        <v>186</v>
      </c>
      <c r="B20">
        <v>5</v>
      </c>
      <c r="C20">
        <v>1000</v>
      </c>
      <c r="E20">
        <f t="shared" si="0"/>
        <v>50</v>
      </c>
      <c r="F20">
        <f>+C20*5%</f>
        <v>50</v>
      </c>
      <c r="G20">
        <f t="shared" si="2"/>
        <v>25</v>
      </c>
    </row>
    <row r="21" spans="1:8" ht="15.75" thickBot="1"/>
    <row r="22" spans="1:8" ht="15.75" thickBot="1">
      <c r="A22" s="77" t="s">
        <v>72</v>
      </c>
      <c r="B22" s="78"/>
      <c r="C22" s="78">
        <f>SUM(C4:C21)</f>
        <v>22550</v>
      </c>
      <c r="D22" s="79">
        <f>SUM(C4:C20)</f>
        <v>22550</v>
      </c>
      <c r="E22" s="79">
        <f>SUM(E4:E21)</f>
        <v>1127.5</v>
      </c>
      <c r="F22" s="79">
        <f>SUM(F4:F21)</f>
        <v>1127.5</v>
      </c>
      <c r="G22">
        <f>SUM(G4:G20)</f>
        <v>1227.5</v>
      </c>
      <c r="H22">
        <f>SUM(H4:H21)</f>
        <v>525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tabSelected="1" topLeftCell="A25" workbookViewId="0">
      <selection activeCell="F33" sqref="F33"/>
    </sheetView>
  </sheetViews>
  <sheetFormatPr baseColWidth="10" defaultRowHeight="15"/>
  <cols>
    <col min="1" max="1" width="7" customWidth="1"/>
    <col min="2" max="2" width="33" customWidth="1"/>
    <col min="9" max="9" width="26.42578125" customWidth="1"/>
    <col min="10" max="10" width="7.42578125" customWidth="1"/>
  </cols>
  <sheetData>
    <row r="1" spans="2:12" ht="15.75">
      <c r="B1" s="130" t="s">
        <v>197</v>
      </c>
      <c r="C1" s="130"/>
      <c r="D1" s="130"/>
      <c r="E1" s="130"/>
      <c r="I1" s="130" t="s">
        <v>197</v>
      </c>
      <c r="J1" s="130"/>
      <c r="K1" s="130"/>
      <c r="L1" s="130"/>
    </row>
    <row r="2" spans="2:12" ht="15.75">
      <c r="B2" s="80"/>
      <c r="C2" s="81"/>
      <c r="D2" s="81"/>
      <c r="E2" s="81"/>
    </row>
    <row r="3" spans="2:12" ht="15.75">
      <c r="B3" s="130" t="s">
        <v>198</v>
      </c>
      <c r="C3" s="130"/>
      <c r="D3" s="130"/>
      <c r="E3" s="130"/>
      <c r="I3" s="131" t="s">
        <v>199</v>
      </c>
      <c r="J3" s="131"/>
      <c r="K3" s="131"/>
      <c r="L3" s="131"/>
    </row>
    <row r="4" spans="2:12">
      <c r="B4" s="81"/>
      <c r="C4" s="81"/>
      <c r="D4" s="81"/>
      <c r="E4" s="81"/>
      <c r="I4" s="82"/>
      <c r="J4" s="82"/>
      <c r="K4" s="82"/>
      <c r="L4" s="82"/>
    </row>
    <row r="5" spans="2:12" ht="15.75">
      <c r="B5" s="130" t="s">
        <v>251</v>
      </c>
      <c r="C5" s="130"/>
      <c r="D5" s="130"/>
      <c r="E5" s="130"/>
      <c r="I5" s="138" t="s">
        <v>251</v>
      </c>
      <c r="J5" s="83"/>
      <c r="K5" s="83"/>
      <c r="L5" s="83"/>
    </row>
    <row r="6" spans="2:12">
      <c r="I6" s="27"/>
      <c r="J6" s="27"/>
      <c r="K6" s="27"/>
      <c r="L6" s="27"/>
    </row>
    <row r="7" spans="2:12">
      <c r="B7" s="76" t="s">
        <v>200</v>
      </c>
      <c r="I7" s="84" t="s">
        <v>172</v>
      </c>
      <c r="J7" s="84"/>
      <c r="K7" s="27"/>
      <c r="L7" s="27"/>
    </row>
    <row r="8" spans="2:12">
      <c r="B8" s="76" t="s">
        <v>201</v>
      </c>
      <c r="C8" s="85"/>
      <c r="D8" s="85"/>
      <c r="E8" s="85">
        <f>SUM(D9)</f>
        <v>654.20000000000005</v>
      </c>
      <c r="I8" s="84" t="s">
        <v>202</v>
      </c>
      <c r="J8" s="84"/>
      <c r="K8" s="27"/>
      <c r="L8" s="27"/>
    </row>
    <row r="9" spans="2:12">
      <c r="B9" s="76" t="s">
        <v>203</v>
      </c>
      <c r="C9" s="85"/>
      <c r="D9" s="85">
        <v>654.20000000000005</v>
      </c>
      <c r="E9" s="86"/>
      <c r="I9" t="s">
        <v>204</v>
      </c>
      <c r="J9" s="27"/>
      <c r="K9" s="87">
        <f>+RESUMEN!C19</f>
        <v>8904.2900000000009</v>
      </c>
    </row>
    <row r="10" spans="2:12">
      <c r="I10" t="s">
        <v>249</v>
      </c>
      <c r="K10" s="137"/>
    </row>
    <row r="11" spans="2:12">
      <c r="B11" s="76" t="s">
        <v>206</v>
      </c>
      <c r="E11" s="90">
        <f>+D12</f>
        <v>1003.83</v>
      </c>
      <c r="I11" s="88" t="s">
        <v>205</v>
      </c>
      <c r="J11" s="88"/>
      <c r="K11" s="88"/>
      <c r="L11" s="89">
        <f>SUM(K9:K10)</f>
        <v>8904.2900000000009</v>
      </c>
    </row>
    <row r="12" spans="2:12">
      <c r="B12" s="91" t="s">
        <v>207</v>
      </c>
      <c r="D12" s="86">
        <v>1003.83</v>
      </c>
      <c r="I12" s="27"/>
      <c r="J12" s="27"/>
      <c r="K12" s="27"/>
      <c r="L12" s="27"/>
    </row>
    <row r="13" spans="2:12">
      <c r="B13" s="76" t="s">
        <v>209</v>
      </c>
      <c r="C13" s="85"/>
      <c r="D13" s="86"/>
      <c r="E13" s="92">
        <f>+E8+E11</f>
        <v>1658.0300000000002</v>
      </c>
      <c r="I13" s="88" t="s">
        <v>208</v>
      </c>
      <c r="J13" s="27"/>
      <c r="K13" s="27"/>
      <c r="L13" s="27"/>
    </row>
    <row r="14" spans="2:12">
      <c r="B14" s="76"/>
      <c r="C14" s="85"/>
      <c r="D14" s="86"/>
      <c r="E14" s="86"/>
      <c r="I14" s="88" t="s">
        <v>210</v>
      </c>
      <c r="L14" s="93">
        <f>SUM(K15:K17)</f>
        <v>3242.2051600000004</v>
      </c>
    </row>
    <row r="15" spans="2:12">
      <c r="B15" s="76" t="s">
        <v>212</v>
      </c>
      <c r="C15" s="85"/>
      <c r="D15" s="85"/>
      <c r="E15" s="85"/>
      <c r="I15" s="94" t="s">
        <v>211</v>
      </c>
      <c r="J15" s="84"/>
      <c r="K15" s="87">
        <f>+PERSONAL!P4</f>
        <v>2364.2400000000002</v>
      </c>
      <c r="L15" s="27"/>
    </row>
    <row r="16" spans="2:12">
      <c r="B16" t="s">
        <v>213</v>
      </c>
      <c r="C16" s="85"/>
      <c r="D16" s="96">
        <f>+[1]DEPRECIACI!C38</f>
        <v>3500</v>
      </c>
      <c r="E16" s="85"/>
      <c r="I16" s="94" t="s">
        <v>73</v>
      </c>
      <c r="J16" s="84"/>
      <c r="K16" s="95">
        <f>+PERSONAL!R4+PERSONAL!Q4</f>
        <v>484.27516000000003</v>
      </c>
    </row>
    <row r="17" spans="2:14">
      <c r="B17" s="91" t="s">
        <v>215</v>
      </c>
      <c r="C17" s="85"/>
      <c r="D17" s="98">
        <f>+[1]DEPRECIACI!C33</f>
        <v>1207.1399999999999</v>
      </c>
      <c r="E17" s="85"/>
      <c r="I17" s="94" t="s">
        <v>214</v>
      </c>
      <c r="J17" s="27"/>
      <c r="K17" s="97">
        <f>+PERSONAL!S4+PERSONAL!T4</f>
        <v>393.69</v>
      </c>
    </row>
    <row r="18" spans="2:14">
      <c r="B18" t="s">
        <v>216</v>
      </c>
      <c r="C18" s="85"/>
      <c r="D18" s="96">
        <f>+[1]DEPRECIACI!C22</f>
        <v>22550</v>
      </c>
      <c r="E18" s="92"/>
      <c r="F18" s="90"/>
      <c r="J18" s="27"/>
      <c r="K18" s="99"/>
      <c r="L18" s="100"/>
    </row>
    <row r="19" spans="2:14">
      <c r="B19" s="91" t="s">
        <v>218</v>
      </c>
      <c r="C19" s="85"/>
      <c r="D19" s="97">
        <v>-1820.5</v>
      </c>
      <c r="E19" s="92"/>
      <c r="I19" s="76" t="s">
        <v>217</v>
      </c>
      <c r="J19" s="27"/>
      <c r="K19" s="99"/>
      <c r="L19" s="93">
        <f>SUM(K20:K21)</f>
        <v>3584.3800000000015</v>
      </c>
    </row>
    <row r="20" spans="2:14">
      <c r="B20" s="91" t="s">
        <v>219</v>
      </c>
      <c r="C20" s="85"/>
      <c r="D20" s="97">
        <f>-9948.935-525</f>
        <v>-10473.934999999999</v>
      </c>
      <c r="I20" t="s">
        <v>33</v>
      </c>
      <c r="K20" s="9">
        <f>+GASTOS!D24</f>
        <v>368.39</v>
      </c>
      <c r="L20" s="27"/>
    </row>
    <row r="21" spans="2:14">
      <c r="B21" s="91"/>
      <c r="C21" s="85"/>
      <c r="D21" s="99"/>
      <c r="I21" s="94" t="s">
        <v>220</v>
      </c>
      <c r="J21" s="27"/>
      <c r="K21" s="133">
        <f>+GASTOS!D120</f>
        <v>3215.9900000000016</v>
      </c>
      <c r="L21" s="101"/>
      <c r="N21" s="9"/>
    </row>
    <row r="22" spans="2:14">
      <c r="B22" s="76" t="s">
        <v>221</v>
      </c>
      <c r="C22" s="85"/>
      <c r="D22" s="85"/>
      <c r="E22" s="92">
        <f>SUM(D16:D20)</f>
        <v>14962.705</v>
      </c>
      <c r="L22" s="100"/>
    </row>
    <row r="23" spans="2:14" ht="15.75" thickBot="1">
      <c r="B23" s="76"/>
      <c r="C23" s="85"/>
      <c r="D23" s="85"/>
      <c r="E23" s="85"/>
      <c r="I23" s="84" t="s">
        <v>222</v>
      </c>
      <c r="L23" s="93">
        <f>SUM(K24:K29)</f>
        <v>2044.8199999999997</v>
      </c>
    </row>
    <row r="24" spans="2:14" ht="15.75" thickBot="1">
      <c r="B24" s="103" t="s">
        <v>223</v>
      </c>
      <c r="C24" s="104"/>
      <c r="D24" s="105"/>
      <c r="E24" s="106">
        <f>+E13+E22</f>
        <v>16620.735000000001</v>
      </c>
      <c r="I24" s="2" t="s">
        <v>224</v>
      </c>
      <c r="J24" s="27"/>
      <c r="K24" s="132">
        <f>+GASTOS!D45</f>
        <v>97.74</v>
      </c>
      <c r="M24" s="9"/>
    </row>
    <row r="25" spans="2:14">
      <c r="C25" s="85"/>
      <c r="D25" s="85"/>
      <c r="E25" s="85"/>
      <c r="I25" s="94" t="s">
        <v>132</v>
      </c>
      <c r="J25" s="27"/>
      <c r="K25" s="132">
        <f>+GASTOS!D37</f>
        <v>704.39</v>
      </c>
      <c r="M25" s="9"/>
    </row>
    <row r="26" spans="2:14">
      <c r="B26" s="76" t="s">
        <v>226</v>
      </c>
      <c r="C26" s="85"/>
      <c r="D26" s="85"/>
      <c r="E26" s="85"/>
      <c r="I26" s="94" t="s">
        <v>174</v>
      </c>
      <c r="J26" s="27"/>
      <c r="K26" s="132">
        <f>+GASTOS!D17</f>
        <v>568.60999999999967</v>
      </c>
      <c r="L26" s="9"/>
    </row>
    <row r="27" spans="2:14">
      <c r="B27" t="s">
        <v>227</v>
      </c>
      <c r="C27" s="85"/>
      <c r="D27" s="96"/>
      <c r="E27" s="85"/>
      <c r="I27" s="94" t="s">
        <v>225</v>
      </c>
      <c r="J27" s="27"/>
      <c r="K27" s="132">
        <f>+GASTOS!D63</f>
        <v>149.07999999999998</v>
      </c>
    </row>
    <row r="28" spans="2:14">
      <c r="B28" t="s">
        <v>229</v>
      </c>
      <c r="E28" s="85"/>
      <c r="I28" s="94" t="s">
        <v>228</v>
      </c>
      <c r="J28" s="27"/>
      <c r="K28" s="102">
        <f>+DEPRECIACION!H22</f>
        <v>525</v>
      </c>
    </row>
    <row r="29" spans="2:14">
      <c r="B29" t="s">
        <v>230</v>
      </c>
      <c r="C29" s="85"/>
      <c r="D29" s="97"/>
      <c r="E29" s="85"/>
      <c r="I29" s="107" t="s">
        <v>232</v>
      </c>
      <c r="J29" s="27"/>
      <c r="K29" s="108"/>
      <c r="L29" s="93">
        <f>SUM(L14:L23)</f>
        <v>8871.4051600000021</v>
      </c>
    </row>
    <row r="30" spans="2:14" ht="15.75" thickBot="1">
      <c r="B30" s="76" t="s">
        <v>231</v>
      </c>
      <c r="C30" s="85"/>
      <c r="D30" s="85"/>
      <c r="E30" s="92">
        <f>SUM(D27:D29)</f>
        <v>0</v>
      </c>
      <c r="M30" s="9"/>
    </row>
    <row r="31" spans="2:14" ht="15.75" thickBot="1">
      <c r="C31" s="85"/>
      <c r="D31" s="85"/>
      <c r="E31" s="86"/>
      <c r="I31" s="103" t="s">
        <v>235</v>
      </c>
      <c r="J31" s="110"/>
      <c r="K31" s="111"/>
      <c r="L31" s="112">
        <f>+L11-L29</f>
        <v>32.884839999998803</v>
      </c>
    </row>
    <row r="32" spans="2:14">
      <c r="B32" s="76" t="s">
        <v>233</v>
      </c>
      <c r="C32" s="85"/>
      <c r="D32" s="85"/>
      <c r="E32" s="85"/>
      <c r="I32" s="113"/>
      <c r="J32" s="114"/>
      <c r="K32" s="115"/>
      <c r="L32" s="116"/>
    </row>
    <row r="33" spans="2:14">
      <c r="B33" t="s">
        <v>234</v>
      </c>
      <c r="C33" s="85"/>
      <c r="D33" s="96">
        <v>600</v>
      </c>
      <c r="E33" s="85"/>
      <c r="I33" s="76" t="s">
        <v>238</v>
      </c>
      <c r="L33" s="9">
        <f>+L31*15%</f>
        <v>4.9327259999998203</v>
      </c>
    </row>
    <row r="34" spans="2:14" ht="15.75" thickBot="1">
      <c r="B34" s="76" t="s">
        <v>236</v>
      </c>
      <c r="C34" s="85"/>
      <c r="D34" s="90">
        <v>19985.23</v>
      </c>
      <c r="E34" s="85"/>
      <c r="I34" s="27"/>
      <c r="J34" s="109"/>
      <c r="K34" s="108"/>
      <c r="L34" s="27"/>
    </row>
    <row r="35" spans="2:14" ht="15.75" thickBot="1">
      <c r="B35" s="76" t="s">
        <v>237</v>
      </c>
      <c r="C35" s="85"/>
      <c r="D35" s="85">
        <v>-6506.81</v>
      </c>
      <c r="E35" s="85"/>
      <c r="I35" s="103" t="s">
        <v>241</v>
      </c>
      <c r="J35" s="117"/>
      <c r="K35" s="117"/>
      <c r="L35" s="118">
        <f>+L31-L33</f>
        <v>27.952113999998982</v>
      </c>
    </row>
    <row r="36" spans="2:14">
      <c r="B36" s="76" t="s">
        <v>239</v>
      </c>
      <c r="D36" s="99">
        <f>161.15+2353.21</f>
        <v>2514.36</v>
      </c>
      <c r="F36" s="90"/>
      <c r="I36" s="139" t="s">
        <v>243</v>
      </c>
      <c r="J36" s="120"/>
      <c r="K36" s="120"/>
      <c r="L36" s="140">
        <v>27.95</v>
      </c>
      <c r="M36" s="26" t="s">
        <v>250</v>
      </c>
    </row>
    <row r="37" spans="2:14">
      <c r="B37" t="s">
        <v>240</v>
      </c>
      <c r="C37" s="85"/>
      <c r="D37" s="97">
        <f>+L35</f>
        <v>27.952113999998982</v>
      </c>
      <c r="E37" s="85"/>
      <c r="F37" s="90"/>
      <c r="I37" s="115" t="s">
        <v>244</v>
      </c>
      <c r="J37" s="120"/>
      <c r="K37" s="120"/>
      <c r="L37" s="121">
        <f>+L35-L36</f>
        <v>2.1139999989827629E-3</v>
      </c>
    </row>
    <row r="38" spans="2:14">
      <c r="B38" s="76" t="s">
        <v>242</v>
      </c>
      <c r="C38" s="119"/>
      <c r="D38" s="92"/>
      <c r="E38" s="92">
        <f>SUM(D33:D37)</f>
        <v>16620.732113999999</v>
      </c>
      <c r="F38" s="90"/>
      <c r="I38" s="115" t="s">
        <v>246</v>
      </c>
      <c r="K38" s="90"/>
      <c r="L38" s="125">
        <f>+L37*25%</f>
        <v>5.2849999974569073E-4</v>
      </c>
      <c r="M38" s="90"/>
    </row>
    <row r="39" spans="2:14" ht="15.75" thickBot="1">
      <c r="C39" s="85"/>
      <c r="D39" s="85"/>
      <c r="E39" s="85"/>
      <c r="F39" s="90"/>
      <c r="I39" s="141" t="s">
        <v>247</v>
      </c>
      <c r="J39" s="141"/>
      <c r="K39" s="141"/>
      <c r="L39" s="142">
        <f>+ENERO!F2+FEBRERO!G2+MARZO!F9+ABRIL!F9+MAYO!F5+JUNIO!F7+JULIO!F7+SEPTIEMBRE!F5+AGOSTO!F7+OCTUBRE!F5+NOVIEMBRE!F7+DICIEMBRE!F6</f>
        <v>160.46030000000002</v>
      </c>
      <c r="M39" s="141" t="s">
        <v>252</v>
      </c>
    </row>
    <row r="40" spans="2:14" ht="15.75" thickBot="1">
      <c r="B40" s="77" t="s">
        <v>245</v>
      </c>
      <c r="C40" s="104"/>
      <c r="D40" s="105"/>
      <c r="E40" s="106">
        <f>+E30+E38</f>
        <v>16620.732113999999</v>
      </c>
      <c r="F40" s="90"/>
      <c r="M40" s="90"/>
      <c r="N40" s="90"/>
    </row>
    <row r="41" spans="2:14">
      <c r="B41" s="122"/>
      <c r="C41" s="123"/>
      <c r="D41" s="124"/>
      <c r="E41" s="124"/>
      <c r="M41" s="90"/>
      <c r="N41" s="90"/>
    </row>
    <row r="42" spans="2:14">
      <c r="L42">
        <f>100/6</f>
        <v>16.666666666666668</v>
      </c>
      <c r="N42" s="90"/>
    </row>
    <row r="43" spans="2:14">
      <c r="L43">
        <f>100-83.31</f>
        <v>16.689999999999998</v>
      </c>
      <c r="N43" s="90"/>
    </row>
    <row r="45" spans="2:14">
      <c r="B45" s="122"/>
      <c r="C45" s="123"/>
      <c r="D45" s="124"/>
      <c r="E45" s="124"/>
    </row>
    <row r="46" spans="2:14">
      <c r="B46" s="122"/>
      <c r="C46" s="123"/>
      <c r="D46" s="124"/>
      <c r="E46" s="124"/>
    </row>
    <row r="47" spans="2:14">
      <c r="C47" s="85"/>
      <c r="D47" s="85"/>
      <c r="E47" s="124"/>
    </row>
    <row r="48" spans="2:14">
      <c r="B48" s="76"/>
      <c r="C48" s="27"/>
      <c r="D48" s="27"/>
      <c r="E48" s="124"/>
    </row>
    <row r="49" spans="2:13">
      <c r="C49" s="126"/>
      <c r="D49" s="127"/>
      <c r="E49" s="124"/>
      <c r="L49" s="90"/>
      <c r="M49" s="90"/>
    </row>
    <row r="50" spans="2:13">
      <c r="C50" s="126"/>
      <c r="D50" s="127"/>
      <c r="E50" s="124"/>
    </row>
    <row r="51" spans="2:13">
      <c r="C51" s="126"/>
      <c r="D51" s="127"/>
      <c r="E51" s="124"/>
    </row>
    <row r="52" spans="2:13">
      <c r="C52" s="128"/>
      <c r="D52" s="129"/>
      <c r="E52" s="124"/>
    </row>
    <row r="53" spans="2:13">
      <c r="B53" s="76"/>
      <c r="C53" s="76"/>
      <c r="D53" s="76"/>
      <c r="E53" s="124"/>
    </row>
    <row r="54" spans="2:13">
      <c r="E54" s="124"/>
    </row>
    <row r="55" spans="2:13">
      <c r="E55" s="124"/>
    </row>
  </sheetData>
  <mergeCells count="5">
    <mergeCell ref="B1:E1"/>
    <mergeCell ref="I1:L1"/>
    <mergeCell ref="B3:E3"/>
    <mergeCell ref="I3:L3"/>
    <mergeCell ref="B5:E5"/>
  </mergeCells>
  <pageMargins left="0.7" right="0.7" top="0.75" bottom="0.75" header="0.3" footer="0.3"/>
  <pageSetup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K21" sqref="K21"/>
    </sheetView>
  </sheetViews>
  <sheetFormatPr baseColWidth="10" defaultRowHeight="15"/>
  <sheetData>
    <row r="1" spans="1:9">
      <c r="A1" s="1"/>
      <c r="B1" s="2" t="s">
        <v>0</v>
      </c>
      <c r="C1" s="2"/>
      <c r="D1" s="2"/>
      <c r="E1" s="2"/>
      <c r="F1" s="2" t="s">
        <v>1</v>
      </c>
      <c r="G1" s="2" t="s">
        <v>2</v>
      </c>
      <c r="H1" s="2"/>
    </row>
    <row r="2" spans="1:9">
      <c r="A2" s="18" t="s">
        <v>21</v>
      </c>
      <c r="B2" s="3">
        <v>530</v>
      </c>
      <c r="C2" s="4">
        <v>91</v>
      </c>
      <c r="D2" s="5">
        <f t="shared" ref="D2:D4" si="0">+C2*0.12</f>
        <v>10.92</v>
      </c>
      <c r="E2" s="5">
        <f t="shared" ref="E2:E4" si="1">+C2+D2</f>
        <v>101.92</v>
      </c>
      <c r="F2" s="5">
        <f t="shared" ref="F2:F4" si="2">+C2*1%</f>
        <v>0.91</v>
      </c>
      <c r="G2" s="5">
        <f>+D2*0.7</f>
        <v>7.6439999999999992</v>
      </c>
      <c r="H2" s="2"/>
    </row>
    <row r="3" spans="1:9">
      <c r="A3" s="6"/>
      <c r="B3" s="7"/>
      <c r="C3" s="8"/>
      <c r="D3" s="5">
        <f t="shared" si="0"/>
        <v>0</v>
      </c>
      <c r="E3" s="5">
        <f t="shared" si="1"/>
        <v>0</v>
      </c>
      <c r="F3" s="5">
        <f t="shared" si="2"/>
        <v>0</v>
      </c>
      <c r="G3" s="5"/>
      <c r="H3" s="2" t="s">
        <v>3</v>
      </c>
    </row>
    <row r="4" spans="1:9">
      <c r="A4" s="6"/>
      <c r="B4" s="3"/>
      <c r="C4" s="4"/>
      <c r="D4" s="5">
        <f t="shared" si="0"/>
        <v>0</v>
      </c>
      <c r="E4" s="5">
        <f t="shared" si="1"/>
        <v>0</v>
      </c>
      <c r="F4" s="5">
        <f t="shared" si="2"/>
        <v>0</v>
      </c>
      <c r="G4" s="5"/>
      <c r="H4" s="2"/>
      <c r="I4" s="6"/>
    </row>
    <row r="5" spans="1:9">
      <c r="A5" s="1"/>
      <c r="B5" s="7"/>
      <c r="C5" s="8">
        <f>SUM(C2:C4)</f>
        <v>91</v>
      </c>
      <c r="D5" s="8">
        <f t="shared" ref="D5:G5" si="3">SUM(D2:D4)</f>
        <v>10.92</v>
      </c>
      <c r="E5" s="8">
        <f t="shared" si="3"/>
        <v>101.92</v>
      </c>
      <c r="F5" s="8">
        <f t="shared" si="3"/>
        <v>0.91</v>
      </c>
      <c r="G5" s="8">
        <f t="shared" si="3"/>
        <v>7.6439999999999992</v>
      </c>
      <c r="H5" s="8">
        <f>SUM(H2:H4)</f>
        <v>0</v>
      </c>
    </row>
    <row r="6" spans="1:9">
      <c r="A6" s="1"/>
      <c r="C6" s="9"/>
      <c r="D6" s="9"/>
      <c r="E6" s="9"/>
      <c r="F6" s="9"/>
    </row>
    <row r="7" spans="1:9">
      <c r="A7" s="1"/>
      <c r="B7" s="18" t="s">
        <v>25</v>
      </c>
      <c r="C7" s="17"/>
      <c r="D7" s="21">
        <f>+F7/1.12</f>
        <v>53.053571428571423</v>
      </c>
      <c r="E7" s="4">
        <f>+D7*12%</f>
        <v>6.3664285714285702</v>
      </c>
      <c r="F7" s="5">
        <v>59.42</v>
      </c>
      <c r="G7" s="2"/>
      <c r="H7" s="2" t="s">
        <v>30</v>
      </c>
    </row>
    <row r="8" spans="1:9">
      <c r="A8" s="1"/>
      <c r="B8" s="18" t="s">
        <v>22</v>
      </c>
      <c r="C8" s="4"/>
      <c r="D8" s="21">
        <f>+F8/1.12</f>
        <v>90.964285714285708</v>
      </c>
      <c r="E8" s="4">
        <f>+D8*12%</f>
        <v>10.915714285714284</v>
      </c>
      <c r="F8" s="5">
        <v>101.88</v>
      </c>
      <c r="G8" s="2"/>
      <c r="H8" s="2" t="s">
        <v>5</v>
      </c>
    </row>
    <row r="9" spans="1:9">
      <c r="A9" s="1"/>
      <c r="B9" s="18" t="s">
        <v>23</v>
      </c>
      <c r="C9" s="4"/>
      <c r="D9" s="21">
        <f>+F9/1.12</f>
        <v>81.5</v>
      </c>
      <c r="E9" s="4">
        <f>+D9*12%</f>
        <v>9.7799999999999994</v>
      </c>
      <c r="F9" s="5">
        <v>91.28</v>
      </c>
      <c r="G9" s="2"/>
      <c r="H9" s="2" t="s">
        <v>5</v>
      </c>
    </row>
    <row r="10" spans="1:9">
      <c r="A10" s="1"/>
      <c r="B10" s="18" t="s">
        <v>24</v>
      </c>
      <c r="C10" s="3"/>
      <c r="D10" s="21">
        <f>+F10/1.12</f>
        <v>15.883928571428569</v>
      </c>
      <c r="E10" s="4">
        <f>+D10*12%</f>
        <v>1.9060714285714282</v>
      </c>
      <c r="F10" s="5">
        <v>17.79</v>
      </c>
      <c r="G10" s="2"/>
      <c r="H10" s="2" t="s">
        <v>5</v>
      </c>
    </row>
    <row r="11" spans="1:9">
      <c r="A11" s="1"/>
      <c r="B11" s="18" t="s">
        <v>26</v>
      </c>
      <c r="C11" s="7">
        <v>88.21</v>
      </c>
      <c r="D11" s="19"/>
      <c r="E11" s="4"/>
      <c r="F11" s="5">
        <f>+C11</f>
        <v>88.21</v>
      </c>
      <c r="G11" s="2"/>
      <c r="H11" s="2" t="s">
        <v>8</v>
      </c>
    </row>
    <row r="12" spans="1:9">
      <c r="A12" s="1"/>
      <c r="B12" s="13" t="s">
        <v>19</v>
      </c>
      <c r="C12" s="3"/>
      <c r="D12" s="19"/>
      <c r="E12" s="4"/>
      <c r="F12" s="5">
        <f>+C12</f>
        <v>0</v>
      </c>
      <c r="G12" s="2"/>
      <c r="H12" s="2" t="s">
        <v>8</v>
      </c>
    </row>
    <row r="13" spans="1:9">
      <c r="A13" s="1"/>
      <c r="B13" s="18" t="s">
        <v>27</v>
      </c>
      <c r="C13" s="3"/>
      <c r="D13" s="19">
        <f>+F13/1.12</f>
        <v>160.71428571428569</v>
      </c>
      <c r="E13" s="4">
        <f>+D13*12%</f>
        <v>19.285714285714281</v>
      </c>
      <c r="F13" s="5">
        <v>180</v>
      </c>
      <c r="G13" s="2">
        <f>+D13*2%</f>
        <v>3.214285714285714</v>
      </c>
      <c r="H13" s="2" t="s">
        <v>28</v>
      </c>
    </row>
    <row r="14" spans="1:9">
      <c r="A14" s="1"/>
      <c r="B14" s="18" t="s">
        <v>29</v>
      </c>
      <c r="C14" s="3"/>
      <c r="D14" s="19">
        <f>+F14/1.12</f>
        <v>28.4375</v>
      </c>
      <c r="E14" s="4">
        <f>+D14*12%</f>
        <v>3.4125000000000001</v>
      </c>
      <c r="F14" s="5">
        <v>31.85</v>
      </c>
      <c r="G14" s="2"/>
      <c r="H14" s="2" t="s">
        <v>6</v>
      </c>
    </row>
    <row r="15" spans="1:9">
      <c r="A15" s="1"/>
      <c r="B15" s="18" t="s">
        <v>31</v>
      </c>
      <c r="C15" s="3">
        <v>26.55</v>
      </c>
      <c r="D15" s="19"/>
      <c r="E15" s="4"/>
      <c r="F15" s="5"/>
      <c r="G15" s="2"/>
      <c r="H15" s="2" t="s">
        <v>8</v>
      </c>
    </row>
    <row r="16" spans="1:9">
      <c r="A16" s="1"/>
      <c r="B16" s="18" t="s">
        <v>32</v>
      </c>
      <c r="C16" s="3"/>
      <c r="D16" s="19">
        <f>+F16/1.12</f>
        <v>60</v>
      </c>
      <c r="E16" s="4">
        <f>+D16*12%</f>
        <v>7.1999999999999993</v>
      </c>
      <c r="F16" s="5">
        <v>67.2</v>
      </c>
      <c r="G16" s="2">
        <f>+D16*2%</f>
        <v>1.2</v>
      </c>
      <c r="H16" s="2" t="s">
        <v>33</v>
      </c>
    </row>
    <row r="17" spans="1:9">
      <c r="A17" s="1"/>
      <c r="B17" s="16"/>
      <c r="C17" s="11">
        <f>SUM(C7:C16)</f>
        <v>114.75999999999999</v>
      </c>
      <c r="D17" s="11">
        <f>SUM(D7:D16)</f>
        <v>490.55357142857144</v>
      </c>
      <c r="E17" s="11">
        <f>SUM(E7:E16)</f>
        <v>58.866428571428557</v>
      </c>
      <c r="F17" s="11">
        <f>SUM(F7:F16)</f>
        <v>637.63</v>
      </c>
      <c r="G17" s="11">
        <f>SUM(G7:G16)</f>
        <v>4.4142857142857137</v>
      </c>
      <c r="H17" s="12"/>
    </row>
    <row r="18" spans="1:9">
      <c r="A18" s="1"/>
      <c r="B18" s="16"/>
      <c r="C18" s="11"/>
      <c r="D18" s="11"/>
      <c r="E18" s="11"/>
      <c r="F18" s="11"/>
      <c r="G18" s="11"/>
      <c r="H18" s="12"/>
    </row>
    <row r="19" spans="1:9">
      <c r="A19" s="1"/>
      <c r="B19" s="16"/>
      <c r="C19" s="11"/>
      <c r="D19" s="11"/>
      <c r="E19" s="11"/>
      <c r="F19" s="11"/>
      <c r="G19" s="11"/>
      <c r="H19" s="12"/>
    </row>
    <row r="20" spans="1:9">
      <c r="A20" s="1"/>
      <c r="B20" s="2" t="s">
        <v>9</v>
      </c>
      <c r="C20" s="2"/>
      <c r="D20" s="5">
        <f>+C5</f>
        <v>91</v>
      </c>
      <c r="E20" s="5">
        <f>+D20*0.12</f>
        <v>10.92</v>
      </c>
      <c r="F20" s="2"/>
    </row>
    <row r="21" spans="1:9">
      <c r="A21" s="1"/>
      <c r="B21" s="2"/>
      <c r="C21" s="2"/>
      <c r="D21" s="5"/>
      <c r="E21" s="2">
        <f>+D21*14%</f>
        <v>0</v>
      </c>
      <c r="F21" s="2"/>
    </row>
    <row r="22" spans="1:9">
      <c r="A22" s="1"/>
      <c r="B22" s="2" t="s">
        <v>10</v>
      </c>
      <c r="C22" s="2"/>
      <c r="D22" s="5"/>
      <c r="E22" s="2"/>
      <c r="F22" s="2"/>
    </row>
    <row r="23" spans="1:9">
      <c r="A23" s="1"/>
      <c r="B23" s="2"/>
      <c r="C23" s="2"/>
      <c r="D23" s="5"/>
      <c r="E23" s="12">
        <f>+E20-E21+E22</f>
        <v>10.92</v>
      </c>
      <c r="F23" s="2"/>
    </row>
    <row r="24" spans="1:9">
      <c r="A24" s="1"/>
      <c r="B24" s="2" t="s">
        <v>4</v>
      </c>
      <c r="C24" s="5">
        <f>+D17</f>
        <v>490.55357142857144</v>
      </c>
      <c r="D24" s="5">
        <f>+C24</f>
        <v>490.55357142857144</v>
      </c>
      <c r="E24" s="12">
        <f>+D24*0.12</f>
        <v>58.866428571428571</v>
      </c>
      <c r="F24" s="2"/>
    </row>
    <row r="25" spans="1:9">
      <c r="A25" s="1"/>
      <c r="B25" s="2"/>
      <c r="C25" s="5"/>
      <c r="D25" s="5">
        <f>+C17</f>
        <v>114.75999999999999</v>
      </c>
      <c r="E25" s="5"/>
      <c r="F25" s="2"/>
    </row>
    <row r="26" spans="1:9">
      <c r="A26" s="1"/>
      <c r="B26" s="2" t="s">
        <v>11</v>
      </c>
      <c r="C26" s="2"/>
      <c r="D26" s="5">
        <f>+D24+D25</f>
        <v>605.31357142857144</v>
      </c>
      <c r="E26" s="5">
        <f>+E23-E24</f>
        <v>-47.946428571428569</v>
      </c>
      <c r="F26" s="2"/>
      <c r="G26" s="9">
        <f>+[1]OCTUBRE!D26+[1]NOVIEMBRE!D26+[1]DICIEMBRE!D50</f>
        <v>1921.6689285714285</v>
      </c>
      <c r="H26">
        <v>1894.46</v>
      </c>
      <c r="I26" s="9">
        <f>+G26-H26</f>
        <v>27.208928571428487</v>
      </c>
    </row>
    <row r="27" spans="1:9">
      <c r="A27" s="1"/>
      <c r="B27" s="2">
        <v>605</v>
      </c>
      <c r="C27" s="2"/>
      <c r="D27" s="2"/>
      <c r="E27" s="5"/>
      <c r="F27" s="2"/>
      <c r="I27">
        <f>579*12.15%</f>
        <v>70.348500000000001</v>
      </c>
    </row>
    <row r="28" spans="1:9">
      <c r="A28" s="1"/>
      <c r="B28" s="2">
        <v>606</v>
      </c>
      <c r="C28" s="2"/>
      <c r="D28" s="2"/>
      <c r="E28" s="5"/>
      <c r="F28" s="2"/>
    </row>
    <row r="29" spans="1:9">
      <c r="A29" s="1"/>
      <c r="B29" s="2">
        <v>609</v>
      </c>
      <c r="C29" s="2"/>
      <c r="D29" s="2"/>
      <c r="E29" s="5">
        <f>-G5</f>
        <v>-7.6439999999999992</v>
      </c>
      <c r="F29" s="2"/>
    </row>
    <row r="30" spans="1:9">
      <c r="A30" s="1"/>
      <c r="B30" s="2">
        <v>615</v>
      </c>
      <c r="C30" s="2"/>
      <c r="D30" s="2"/>
      <c r="E30" s="9">
        <f>+E26</f>
        <v>-47.946428571428569</v>
      </c>
      <c r="F30" s="5"/>
    </row>
    <row r="31" spans="1:9">
      <c r="A31" s="1"/>
      <c r="B31" s="2">
        <v>617</v>
      </c>
      <c r="C31" s="2"/>
      <c r="D31" s="2"/>
      <c r="E31" s="5">
        <f>+E29</f>
        <v>-7.6439999999999992</v>
      </c>
      <c r="F31" s="5"/>
    </row>
    <row r="32" spans="1:9">
      <c r="A32" s="1"/>
      <c r="B32" s="2"/>
      <c r="C32" s="2"/>
      <c r="D32" s="2"/>
      <c r="E32" s="5"/>
      <c r="F32" s="5"/>
    </row>
    <row r="33" spans="1:7">
      <c r="A33" s="1"/>
      <c r="B33" s="2" t="s">
        <v>12</v>
      </c>
      <c r="C33" s="2"/>
      <c r="D33" s="2"/>
      <c r="E33" s="5">
        <f>+E32</f>
        <v>0</v>
      </c>
      <c r="F33" s="2"/>
    </row>
    <row r="34" spans="1:7">
      <c r="A34" s="1"/>
      <c r="B34" s="2"/>
      <c r="C34" s="2"/>
      <c r="D34" s="2"/>
      <c r="E34" s="2"/>
      <c r="F34" s="2"/>
    </row>
    <row r="35" spans="1:7">
      <c r="A35" s="1"/>
      <c r="B35" s="2" t="s">
        <v>13</v>
      </c>
      <c r="C35" s="5"/>
      <c r="D35" s="2"/>
      <c r="E35" s="5"/>
      <c r="F35" s="2"/>
    </row>
    <row r="36" spans="1:7">
      <c r="A36" s="1"/>
      <c r="B36" s="2"/>
      <c r="C36" s="2">
        <v>303</v>
      </c>
      <c r="D36" s="5"/>
      <c r="E36" s="2">
        <f>+D36*10%</f>
        <v>0</v>
      </c>
      <c r="F36" s="2"/>
      <c r="G36">
        <v>593.32000000000005</v>
      </c>
    </row>
    <row r="37" spans="1:7">
      <c r="A37" s="1"/>
      <c r="B37" s="2"/>
      <c r="C37" s="2">
        <v>344</v>
      </c>
      <c r="D37" s="5" t="e">
        <f>+#REF!+MARZO!D19+MARZO!D12</f>
        <v>#REF!</v>
      </c>
      <c r="E37" s="2" t="e">
        <f>+D37*2%</f>
        <v>#REF!</v>
      </c>
      <c r="F37" s="2"/>
      <c r="G37">
        <f>+G36/2</f>
        <v>296.66000000000003</v>
      </c>
    </row>
    <row r="38" spans="1:7">
      <c r="A38" s="1"/>
      <c r="B38" s="2"/>
      <c r="C38" s="2">
        <v>332</v>
      </c>
      <c r="D38" s="5" t="e">
        <f>+MARZO!C20+MARZO!D20-D37</f>
        <v>#REF!</v>
      </c>
      <c r="E38" s="5"/>
      <c r="F38" s="2"/>
    </row>
    <row r="39" spans="1:7">
      <c r="A39" s="1"/>
      <c r="B39" s="2"/>
      <c r="C39" s="2"/>
      <c r="D39" s="5" t="e">
        <f>SUM(D36:D38)</f>
        <v>#REF!</v>
      </c>
      <c r="E39" s="2" t="e">
        <f>SUM(E36:E38)</f>
        <v>#REF!</v>
      </c>
      <c r="F39" s="2"/>
      <c r="G39">
        <f>8*30</f>
        <v>240</v>
      </c>
    </row>
    <row r="40" spans="1:7">
      <c r="A40" s="1"/>
      <c r="B40" s="2"/>
      <c r="C40" s="2"/>
      <c r="D40" s="2"/>
      <c r="E40" s="2"/>
      <c r="F40" s="2"/>
      <c r="G40">
        <f>+G39/2</f>
        <v>120</v>
      </c>
    </row>
    <row r="41" spans="1:7">
      <c r="A41" s="1"/>
      <c r="E41" s="9" t="e">
        <f>+E33+E39</f>
        <v>#REF!</v>
      </c>
    </row>
    <row r="42" spans="1:7">
      <c r="A4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F22" sqref="F22"/>
    </sheetView>
  </sheetViews>
  <sheetFormatPr baseColWidth="10" defaultRowHeight="15"/>
  <cols>
    <col min="1" max="1" width="14" customWidth="1"/>
  </cols>
  <sheetData>
    <row r="1" spans="1:12">
      <c r="A1" s="1"/>
      <c r="B1" s="2" t="s">
        <v>0</v>
      </c>
      <c r="C1" s="2" t="s">
        <v>41</v>
      </c>
      <c r="D1" s="2"/>
      <c r="E1" s="2"/>
      <c r="F1" s="2" t="s">
        <v>1</v>
      </c>
      <c r="G1" s="2" t="s">
        <v>2</v>
      </c>
      <c r="H1" s="2"/>
    </row>
    <row r="2" spans="1:12">
      <c r="A2" s="1" t="s">
        <v>55</v>
      </c>
      <c r="B2" s="2">
        <v>531</v>
      </c>
      <c r="C2" s="18">
        <v>100</v>
      </c>
      <c r="D2" s="5">
        <f t="shared" ref="D2" si="0">+C2*0.12</f>
        <v>12</v>
      </c>
      <c r="E2" s="5">
        <f t="shared" ref="E2" si="1">+C2+D2</f>
        <v>112</v>
      </c>
      <c r="F2" s="2"/>
      <c r="G2" s="2"/>
      <c r="H2" s="2"/>
    </row>
    <row r="3" spans="1:12">
      <c r="A3" s="1" t="s">
        <v>56</v>
      </c>
      <c r="B3" s="2">
        <v>532</v>
      </c>
      <c r="C3" s="18">
        <v>178.57</v>
      </c>
      <c r="D3" s="5">
        <f t="shared" ref="D3" si="2">+C3*0.12</f>
        <v>21.4284</v>
      </c>
      <c r="E3" s="5">
        <f t="shared" ref="E3" si="3">+C3+D3</f>
        <v>199.9984</v>
      </c>
      <c r="F3" s="5">
        <v>1.79</v>
      </c>
      <c r="G3" s="5">
        <f>+D3*0.7</f>
        <v>14.999879999999999</v>
      </c>
      <c r="H3" s="5"/>
      <c r="I3" s="9"/>
    </row>
    <row r="4" spans="1:12">
      <c r="A4" s="22" t="s">
        <v>34</v>
      </c>
      <c r="B4" s="7">
        <v>533</v>
      </c>
      <c r="C4" s="18">
        <v>364.3</v>
      </c>
      <c r="D4" s="5">
        <f t="shared" ref="D4:D6" si="4">+C4*0.12</f>
        <v>43.716000000000001</v>
      </c>
      <c r="E4" s="5">
        <f t="shared" ref="E4:E6" si="5">+C4+D4</f>
        <v>408.01600000000002</v>
      </c>
      <c r="F4" s="5">
        <f t="shared" ref="F4:F6" si="6">+C4*1%</f>
        <v>3.6430000000000002</v>
      </c>
      <c r="G4" s="5">
        <f>+D4*0.7</f>
        <v>30.601199999999999</v>
      </c>
      <c r="H4" s="2"/>
    </row>
    <row r="5" spans="1:12">
      <c r="A5" s="18" t="s">
        <v>34</v>
      </c>
      <c r="B5" s="7">
        <v>535</v>
      </c>
      <c r="C5" s="8">
        <v>364.3</v>
      </c>
      <c r="D5" s="5">
        <f t="shared" si="4"/>
        <v>43.716000000000001</v>
      </c>
      <c r="E5" s="5">
        <f t="shared" si="5"/>
        <v>408.01600000000002</v>
      </c>
      <c r="F5" s="5">
        <f t="shared" si="6"/>
        <v>3.6430000000000002</v>
      </c>
      <c r="G5" s="5">
        <f t="shared" ref="G5:G6" si="7">+D5*0.7</f>
        <v>30.601199999999999</v>
      </c>
      <c r="H5" s="2" t="s">
        <v>3</v>
      </c>
    </row>
    <row r="6" spans="1:12">
      <c r="A6" s="18" t="s">
        <v>34</v>
      </c>
      <c r="B6" s="7">
        <v>536</v>
      </c>
      <c r="C6" s="4">
        <v>359</v>
      </c>
      <c r="D6" s="5">
        <f t="shared" si="4"/>
        <v>43.08</v>
      </c>
      <c r="E6" s="5">
        <f t="shared" si="5"/>
        <v>402.08</v>
      </c>
      <c r="F6" s="5">
        <f t="shared" si="6"/>
        <v>3.59</v>
      </c>
      <c r="G6" s="5">
        <f t="shared" si="7"/>
        <v>30.155999999999995</v>
      </c>
      <c r="H6" s="2"/>
      <c r="I6" s="6"/>
    </row>
    <row r="7" spans="1:12">
      <c r="A7" s="18" t="s">
        <v>54</v>
      </c>
      <c r="B7" s="7">
        <v>538</v>
      </c>
      <c r="C7" s="4">
        <v>150</v>
      </c>
      <c r="D7" s="5">
        <f t="shared" ref="D7" si="8">+C7*0.12</f>
        <v>18</v>
      </c>
      <c r="E7" s="5">
        <f t="shared" ref="E7" si="9">+C7+D7</f>
        <v>168</v>
      </c>
      <c r="F7" s="5">
        <f>+C7*2%</f>
        <v>3</v>
      </c>
      <c r="G7" s="5"/>
      <c r="H7" s="2"/>
      <c r="I7" s="6"/>
    </row>
    <row r="8" spans="1:12">
      <c r="A8" s="6"/>
      <c r="B8" s="3"/>
      <c r="C8" s="4"/>
      <c r="D8" s="5"/>
      <c r="E8" s="5"/>
      <c r="F8" s="5"/>
      <c r="G8" s="5"/>
      <c r="H8" s="2"/>
      <c r="I8" s="6"/>
    </row>
    <row r="9" spans="1:12">
      <c r="A9" s="1"/>
      <c r="B9" s="7"/>
      <c r="C9" s="8">
        <f>SUM(C2:C8)</f>
        <v>1516.17</v>
      </c>
      <c r="D9" s="8">
        <f t="shared" ref="D9:G9" si="10">SUM(D2:D8)</f>
        <v>181.94040000000001</v>
      </c>
      <c r="E9" s="8">
        <f t="shared" si="10"/>
        <v>1698.1104</v>
      </c>
      <c r="F9" s="8">
        <f t="shared" si="10"/>
        <v>15.666</v>
      </c>
      <c r="G9" s="8">
        <f t="shared" si="10"/>
        <v>106.35827999999999</v>
      </c>
      <c r="H9" s="8"/>
      <c r="I9" s="8"/>
      <c r="J9" s="9"/>
    </row>
    <row r="10" spans="1:12">
      <c r="A10" s="1"/>
      <c r="C10" s="9"/>
      <c r="D10" s="9"/>
      <c r="E10" s="9"/>
      <c r="F10" s="9"/>
      <c r="I10" s="9"/>
      <c r="J10" s="9"/>
    </row>
    <row r="11" spans="1:12">
      <c r="A11" s="1"/>
    </row>
    <row r="12" spans="1:12">
      <c r="A12" s="10">
        <v>43530</v>
      </c>
      <c r="B12" s="18" t="s">
        <v>35</v>
      </c>
      <c r="C12" s="17"/>
      <c r="D12" s="21">
        <v>16.34</v>
      </c>
      <c r="E12" s="4">
        <f>+D12*12%</f>
        <v>1.9607999999999999</v>
      </c>
      <c r="F12" s="5">
        <v>59.42</v>
      </c>
      <c r="G12" s="2"/>
      <c r="H12" s="2" t="s">
        <v>5</v>
      </c>
    </row>
    <row r="13" spans="1:12">
      <c r="A13" s="10">
        <v>43530</v>
      </c>
      <c r="B13" s="18" t="s">
        <v>36</v>
      </c>
      <c r="C13" s="4"/>
      <c r="D13" s="21">
        <v>78.849999999999994</v>
      </c>
      <c r="E13" s="4">
        <f>+D13*12%</f>
        <v>9.4619999999999997</v>
      </c>
      <c r="F13" s="5">
        <v>101.88</v>
      </c>
      <c r="G13" s="2"/>
      <c r="H13" s="2" t="s">
        <v>5</v>
      </c>
    </row>
    <row r="14" spans="1:12">
      <c r="A14" s="10">
        <v>43530</v>
      </c>
      <c r="B14" s="18" t="s">
        <v>37</v>
      </c>
      <c r="C14" s="4"/>
      <c r="D14" s="21">
        <v>90.11</v>
      </c>
      <c r="E14" s="4">
        <f>+D14*12%</f>
        <v>10.8132</v>
      </c>
      <c r="F14" s="5">
        <v>91.28</v>
      </c>
      <c r="G14" s="2"/>
      <c r="H14" s="2" t="s">
        <v>5</v>
      </c>
      <c r="L14">
        <f>7064.88-973.63</f>
        <v>6091.25</v>
      </c>
    </row>
    <row r="15" spans="1:12">
      <c r="A15" s="14">
        <v>43538</v>
      </c>
      <c r="B15" s="18" t="s">
        <v>38</v>
      </c>
      <c r="C15" s="7">
        <v>127.34</v>
      </c>
      <c r="D15" s="19"/>
      <c r="E15" s="4"/>
      <c r="F15" s="5">
        <f>+C15</f>
        <v>127.34</v>
      </c>
      <c r="G15" s="2"/>
      <c r="H15" s="2" t="s">
        <v>8</v>
      </c>
      <c r="L15">
        <f>+L14*0.15%</f>
        <v>9.1368749999999999</v>
      </c>
    </row>
    <row r="16" spans="1:12">
      <c r="A16" s="10">
        <v>43552</v>
      </c>
      <c r="B16" s="18" t="s">
        <v>40</v>
      </c>
      <c r="C16" s="7">
        <v>26.94</v>
      </c>
      <c r="D16" s="19"/>
      <c r="E16" s="4"/>
      <c r="F16" s="5">
        <f>+C16</f>
        <v>26.94</v>
      </c>
      <c r="G16" s="2"/>
      <c r="H16" s="2" t="s">
        <v>8</v>
      </c>
    </row>
    <row r="17" spans="1:9">
      <c r="A17" s="20">
        <v>43536</v>
      </c>
      <c r="B17" s="18" t="s">
        <v>39</v>
      </c>
      <c r="C17" s="3"/>
      <c r="D17" s="21">
        <v>11.63</v>
      </c>
      <c r="E17" s="4">
        <f>+D17*12%</f>
        <v>1.3956</v>
      </c>
      <c r="F17" s="5">
        <v>31.85</v>
      </c>
      <c r="G17" s="2"/>
      <c r="H17" s="2" t="s">
        <v>6</v>
      </c>
    </row>
    <row r="18" spans="1:9">
      <c r="A18" s="10"/>
      <c r="B18" s="18"/>
      <c r="C18" s="3"/>
      <c r="D18" s="19"/>
      <c r="E18" s="4"/>
      <c r="F18" s="5"/>
      <c r="G18" s="2"/>
      <c r="H18" s="2" t="s">
        <v>8</v>
      </c>
    </row>
    <row r="19" spans="1:9">
      <c r="A19" s="10"/>
      <c r="B19" s="18"/>
      <c r="C19" s="3"/>
      <c r="D19" s="19"/>
      <c r="E19" s="4">
        <f>+D19*12%</f>
        <v>0</v>
      </c>
      <c r="F19" s="5">
        <v>67.2</v>
      </c>
      <c r="G19" s="2">
        <f>+D19*2%</f>
        <v>0</v>
      </c>
      <c r="H19" s="2" t="s">
        <v>33</v>
      </c>
    </row>
    <row r="20" spans="1:9">
      <c r="A20" s="10"/>
      <c r="B20" s="16"/>
      <c r="C20" s="11">
        <f>SUM(C12:C19)</f>
        <v>154.28</v>
      </c>
      <c r="D20" s="11">
        <f>SUM(D12:D19)</f>
        <v>196.93</v>
      </c>
      <c r="E20" s="11">
        <f>SUM(E12:E19)</f>
        <v>23.631599999999999</v>
      </c>
      <c r="F20" s="11">
        <f>SUM(F12:F19)</f>
        <v>505.91</v>
      </c>
      <c r="G20" s="11">
        <f>SUM(G12:G19)</f>
        <v>0</v>
      </c>
      <c r="H20" s="12"/>
    </row>
    <row r="21" spans="1:9">
      <c r="A21" s="1"/>
      <c r="B21" s="10"/>
    </row>
    <row r="22" spans="1:9">
      <c r="A22" s="1"/>
      <c r="B22" s="10"/>
    </row>
    <row r="23" spans="1:9">
      <c r="A23" s="1"/>
    </row>
    <row r="24" spans="1:9">
      <c r="A24" s="1"/>
      <c r="B24" s="2" t="s">
        <v>9</v>
      </c>
      <c r="C24" s="2"/>
      <c r="D24" s="5">
        <f>+C9</f>
        <v>1516.17</v>
      </c>
      <c r="E24" s="5">
        <f>+D24*12%</f>
        <v>181.94040000000001</v>
      </c>
      <c r="F24" s="2"/>
    </row>
    <row r="25" spans="1:9">
      <c r="A25" s="1"/>
      <c r="B25" s="2"/>
      <c r="C25" s="2"/>
      <c r="D25" s="5"/>
      <c r="E25" s="2">
        <f>+D25*14%</f>
        <v>0</v>
      </c>
      <c r="F25" s="2"/>
    </row>
    <row r="26" spans="1:9">
      <c r="A26" s="1"/>
      <c r="B26" s="2" t="s">
        <v>10</v>
      </c>
      <c r="C26" s="2"/>
      <c r="D26" s="5"/>
      <c r="E26" s="2"/>
      <c r="F26" s="2"/>
    </row>
    <row r="27" spans="1:9">
      <c r="A27" s="1"/>
      <c r="B27" s="2"/>
      <c r="C27" s="2"/>
      <c r="D27" s="5"/>
      <c r="E27" s="12">
        <f>+E24-E25+E26</f>
        <v>181.94040000000001</v>
      </c>
      <c r="F27" s="2"/>
    </row>
    <row r="28" spans="1:9">
      <c r="A28" s="1"/>
      <c r="B28" s="2" t="s">
        <v>4</v>
      </c>
      <c r="C28" s="5"/>
      <c r="D28" s="5">
        <f>+D20</f>
        <v>196.93</v>
      </c>
      <c r="E28" s="12">
        <f>+D28*0.12</f>
        <v>23.631599999999999</v>
      </c>
      <c r="F28" s="2"/>
    </row>
    <row r="29" spans="1:9">
      <c r="A29" s="1"/>
      <c r="B29" s="2"/>
      <c r="C29" s="5"/>
      <c r="D29" s="5">
        <f>+C20</f>
        <v>154.28</v>
      </c>
      <c r="E29" s="5"/>
      <c r="F29" s="2"/>
    </row>
    <row r="30" spans="1:9">
      <c r="A30" s="1"/>
      <c r="B30" s="2" t="s">
        <v>11</v>
      </c>
      <c r="C30" s="2"/>
      <c r="D30" s="5">
        <f>+D28+D29</f>
        <v>351.21000000000004</v>
      </c>
      <c r="E30" s="5">
        <f>+E27-E28</f>
        <v>158.30880000000002</v>
      </c>
      <c r="F30" s="2"/>
      <c r="G30" s="9">
        <f>+[1]OCTUBRE!D26+[1]NOVIEMBRE!D26+[1]DICIEMBRE!D50</f>
        <v>1921.6689285714285</v>
      </c>
      <c r="H30">
        <v>1894.46</v>
      </c>
      <c r="I30" s="9">
        <f>+G30-H30</f>
        <v>27.208928571428487</v>
      </c>
    </row>
    <row r="31" spans="1:9">
      <c r="A31" s="1"/>
      <c r="B31" s="2">
        <v>605</v>
      </c>
      <c r="C31" s="2"/>
      <c r="D31" s="2"/>
      <c r="E31" s="5">
        <v>-47.95</v>
      </c>
      <c r="F31" s="2"/>
      <c r="I31">
        <f>579*12.15%</f>
        <v>70.348500000000001</v>
      </c>
    </row>
    <row r="32" spans="1:9">
      <c r="A32" s="1"/>
      <c r="B32" s="2">
        <v>606</v>
      </c>
      <c r="C32" s="2"/>
      <c r="D32" s="2"/>
      <c r="E32" s="5">
        <v>-7.64</v>
      </c>
      <c r="F32" s="2"/>
    </row>
    <row r="33" spans="1:7">
      <c r="A33" s="1"/>
      <c r="B33" s="2">
        <v>609</v>
      </c>
      <c r="C33" s="2"/>
      <c r="D33" s="2"/>
      <c r="E33" s="5">
        <f>-G9</f>
        <v>-106.35827999999999</v>
      </c>
      <c r="F33" s="2"/>
    </row>
    <row r="34" spans="1:7">
      <c r="A34" s="1"/>
      <c r="B34" s="2">
        <v>615</v>
      </c>
      <c r="C34" s="2"/>
      <c r="D34" s="2"/>
      <c r="E34" s="9"/>
      <c r="F34" s="5"/>
    </row>
    <row r="35" spans="1:7">
      <c r="A35" s="1"/>
      <c r="B35" s="2">
        <v>617</v>
      </c>
      <c r="C35" s="2"/>
      <c r="D35" s="2"/>
      <c r="E35" s="5">
        <f>+E30+E31+E32+E33</f>
        <v>-3.6394799999999776</v>
      </c>
      <c r="F35" s="5"/>
    </row>
    <row r="36" spans="1:7">
      <c r="A36" s="1"/>
      <c r="B36" s="2"/>
      <c r="C36" s="2"/>
      <c r="D36" s="2"/>
      <c r="E36" s="5"/>
      <c r="F36" s="5"/>
    </row>
    <row r="37" spans="1:7">
      <c r="A37" s="1"/>
      <c r="B37" s="2" t="s">
        <v>12</v>
      </c>
      <c r="C37" s="2"/>
      <c r="D37" s="2"/>
      <c r="E37" s="5">
        <f>+E36</f>
        <v>0</v>
      </c>
      <c r="F37" s="2"/>
    </row>
    <row r="38" spans="1:7">
      <c r="A38" s="1"/>
      <c r="B38" s="2"/>
      <c r="C38" s="2"/>
      <c r="D38" s="2"/>
      <c r="E38" s="2"/>
      <c r="F38" s="2"/>
    </row>
    <row r="39" spans="1:7">
      <c r="A39" s="1"/>
      <c r="B39" s="2" t="s">
        <v>13</v>
      </c>
      <c r="C39" s="5"/>
      <c r="D39" s="2"/>
      <c r="E39" s="5"/>
      <c r="F39" s="2"/>
    </row>
    <row r="40" spans="1:7">
      <c r="A40" s="1"/>
      <c r="B40" s="2"/>
      <c r="C40" s="2">
        <v>303</v>
      </c>
      <c r="D40" s="5"/>
      <c r="E40" s="2">
        <f>+D40*10%</f>
        <v>0</v>
      </c>
      <c r="F40" s="2"/>
      <c r="G40">
        <v>593.32000000000005</v>
      </c>
    </row>
    <row r="41" spans="1:7">
      <c r="A41" s="1"/>
      <c r="B41" s="2"/>
      <c r="C41" s="2">
        <v>344</v>
      </c>
      <c r="D41" s="5"/>
      <c r="E41" s="2">
        <f>+D41*2%</f>
        <v>0</v>
      </c>
      <c r="F41" s="2"/>
      <c r="G41">
        <f>+G40/2</f>
        <v>296.66000000000003</v>
      </c>
    </row>
    <row r="42" spans="1:7">
      <c r="A42" s="1"/>
      <c r="B42" s="2"/>
      <c r="C42" s="2">
        <v>332</v>
      </c>
      <c r="D42" s="5">
        <f>+C20+D20</f>
        <v>351.21000000000004</v>
      </c>
      <c r="E42" s="5"/>
      <c r="F42" s="2"/>
    </row>
    <row r="43" spans="1:7">
      <c r="A43" s="1"/>
      <c r="B43" s="2"/>
      <c r="C43" s="2"/>
      <c r="D43" s="5">
        <f>SUM(D40:D42)</f>
        <v>351.21000000000004</v>
      </c>
      <c r="E43" s="2">
        <f>SUM(E40:E42)</f>
        <v>0</v>
      </c>
      <c r="F43" s="2"/>
      <c r="G43">
        <f>8*30</f>
        <v>240</v>
      </c>
    </row>
    <row r="44" spans="1:7">
      <c r="A44" s="1"/>
      <c r="B44" s="2"/>
      <c r="C44" s="2"/>
      <c r="D44" s="2"/>
      <c r="E44" s="2"/>
      <c r="F44" s="2"/>
      <c r="G44">
        <f>+G43/2</f>
        <v>120</v>
      </c>
    </row>
    <row r="45" spans="1:7">
      <c r="A45" s="1"/>
      <c r="E45" s="9">
        <f>+E37+E43</f>
        <v>0</v>
      </c>
    </row>
    <row r="46" spans="1:7">
      <c r="A46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L15" sqref="L15"/>
    </sheetView>
  </sheetViews>
  <sheetFormatPr baseColWidth="10" defaultRowHeight="15"/>
  <sheetData>
    <row r="1" spans="1:10">
      <c r="A1" s="1"/>
      <c r="B1" s="2" t="s">
        <v>0</v>
      </c>
      <c r="C1" s="2" t="s">
        <v>41</v>
      </c>
      <c r="D1" s="2"/>
      <c r="E1" s="2"/>
      <c r="F1" s="2" t="s">
        <v>1</v>
      </c>
      <c r="G1" s="2" t="s">
        <v>2</v>
      </c>
      <c r="H1" s="2"/>
    </row>
    <row r="2" spans="1:10">
      <c r="A2" s="1"/>
      <c r="B2" s="2">
        <v>531</v>
      </c>
      <c r="C2" s="18"/>
      <c r="D2" s="5">
        <f t="shared" ref="D2:D6" si="0">+C2*0.12</f>
        <v>0</v>
      </c>
      <c r="E2" s="5">
        <f t="shared" ref="E2:E7" si="1">+C2+D2</f>
        <v>0</v>
      </c>
      <c r="F2" s="2"/>
      <c r="G2" s="2"/>
      <c r="H2" s="2"/>
    </row>
    <row r="3" spans="1:10">
      <c r="A3" s="1"/>
      <c r="B3" s="2">
        <v>532</v>
      </c>
      <c r="C3" s="18"/>
      <c r="D3" s="5">
        <f t="shared" si="0"/>
        <v>0</v>
      </c>
      <c r="E3" s="5">
        <f t="shared" si="1"/>
        <v>0</v>
      </c>
      <c r="F3" s="5">
        <v>1.79</v>
      </c>
      <c r="G3" s="5">
        <f>+D3*0.7</f>
        <v>0</v>
      </c>
      <c r="H3" s="5"/>
      <c r="I3" s="9"/>
    </row>
    <row r="4" spans="1:10">
      <c r="A4" s="18"/>
      <c r="B4" s="3">
        <v>533</v>
      </c>
      <c r="C4" s="18"/>
      <c r="D4" s="5">
        <f t="shared" si="0"/>
        <v>0</v>
      </c>
      <c r="E4" s="5">
        <f t="shared" si="1"/>
        <v>0</v>
      </c>
      <c r="F4" s="5">
        <f t="shared" ref="F4:F7" si="2">+C4*1%</f>
        <v>0</v>
      </c>
      <c r="G4" s="5">
        <f>+D4*0.7</f>
        <v>0</v>
      </c>
      <c r="H4" s="2"/>
    </row>
    <row r="5" spans="1:10">
      <c r="A5" s="6"/>
      <c r="B5" s="7">
        <v>535</v>
      </c>
      <c r="C5" s="8"/>
      <c r="D5" s="5">
        <f t="shared" si="0"/>
        <v>0</v>
      </c>
      <c r="E5" s="5">
        <f t="shared" si="1"/>
        <v>0</v>
      </c>
      <c r="F5" s="5">
        <f t="shared" si="2"/>
        <v>0</v>
      </c>
      <c r="G5" s="5">
        <f t="shared" ref="G5:G6" si="3">+D5*0.7</f>
        <v>0</v>
      </c>
      <c r="H5" s="2" t="s">
        <v>3</v>
      </c>
    </row>
    <row r="6" spans="1:10">
      <c r="A6" s="6"/>
      <c r="B6" s="3">
        <v>536</v>
      </c>
      <c r="C6" s="4"/>
      <c r="D6" s="5">
        <f t="shared" si="0"/>
        <v>0</v>
      </c>
      <c r="E6" s="5">
        <f t="shared" si="1"/>
        <v>0</v>
      </c>
      <c r="F6" s="5">
        <f t="shared" si="2"/>
        <v>0</v>
      </c>
      <c r="G6" s="5">
        <f t="shared" si="3"/>
        <v>0</v>
      </c>
      <c r="H6" s="2"/>
      <c r="I6" s="6"/>
    </row>
    <row r="7" spans="1:10">
      <c r="A7" s="6"/>
      <c r="B7" s="3">
        <v>538</v>
      </c>
      <c r="C7" s="4">
        <v>0.73</v>
      </c>
      <c r="D7" s="5">
        <f>+C7*0.12</f>
        <v>8.7599999999999997E-2</v>
      </c>
      <c r="E7" s="5">
        <f t="shared" si="1"/>
        <v>0.81759999999999999</v>
      </c>
      <c r="F7" s="5">
        <f t="shared" si="2"/>
        <v>7.3000000000000001E-3</v>
      </c>
      <c r="G7" s="5"/>
      <c r="H7" s="2"/>
      <c r="I7" s="6"/>
    </row>
    <row r="8" spans="1:10">
      <c r="A8" s="6"/>
      <c r="B8" s="3"/>
      <c r="C8" s="4"/>
      <c r="D8" s="5"/>
      <c r="E8" s="5"/>
      <c r="F8" s="5"/>
      <c r="G8" s="5"/>
      <c r="H8" s="2"/>
      <c r="I8" s="6"/>
    </row>
    <row r="9" spans="1:10">
      <c r="A9" s="1"/>
      <c r="B9" s="7"/>
      <c r="C9" s="8">
        <f>SUM(C2:C8)</f>
        <v>0.73</v>
      </c>
      <c r="D9" s="8">
        <f t="shared" ref="D9:G9" si="4">SUM(D2:D8)</f>
        <v>8.7599999999999997E-2</v>
      </c>
      <c r="E9" s="8">
        <f t="shared" si="4"/>
        <v>0.81759999999999999</v>
      </c>
      <c r="F9" s="8">
        <f t="shared" si="4"/>
        <v>1.7973000000000001</v>
      </c>
      <c r="G9" s="8">
        <f t="shared" si="4"/>
        <v>0</v>
      </c>
      <c r="H9" s="8"/>
      <c r="I9" s="8"/>
      <c r="J9" s="9"/>
    </row>
    <row r="10" spans="1:10">
      <c r="A10" s="1"/>
      <c r="C10" s="9"/>
      <c r="D10" s="9"/>
      <c r="E10" s="9"/>
      <c r="F10" s="9"/>
      <c r="I10" s="9"/>
      <c r="J10" s="9"/>
    </row>
    <row r="11" spans="1:10">
      <c r="A11" s="1" t="s">
        <v>42</v>
      </c>
      <c r="B11" s="18" t="s">
        <v>43</v>
      </c>
      <c r="D11" s="19">
        <v>18.2</v>
      </c>
      <c r="E11" s="4">
        <f>+D11*12%</f>
        <v>2.1839999999999997</v>
      </c>
      <c r="F11" s="5">
        <f>+D11+E11</f>
        <v>20.384</v>
      </c>
      <c r="G11" s="2"/>
      <c r="H11" t="s">
        <v>44</v>
      </c>
    </row>
    <row r="12" spans="1:10">
      <c r="A12" s="10">
        <v>43563</v>
      </c>
      <c r="B12" s="18" t="s">
        <v>45</v>
      </c>
      <c r="C12" s="17"/>
      <c r="D12" s="19">
        <v>78.8</v>
      </c>
      <c r="E12" s="4">
        <f>+D12*12%</f>
        <v>9.4559999999999995</v>
      </c>
      <c r="F12" s="5">
        <v>59.42</v>
      </c>
      <c r="G12" s="2"/>
      <c r="H12" s="2" t="s">
        <v>5</v>
      </c>
    </row>
    <row r="13" spans="1:10">
      <c r="A13" s="10">
        <v>43563</v>
      </c>
      <c r="B13" s="18" t="s">
        <v>46</v>
      </c>
      <c r="C13" s="4"/>
      <c r="D13" s="19">
        <v>14.04</v>
      </c>
      <c r="E13" s="4">
        <f>+D13*12%</f>
        <v>1.6847999999999999</v>
      </c>
      <c r="F13" s="5">
        <v>101.88</v>
      </c>
      <c r="G13" s="2"/>
      <c r="H13" s="2" t="s">
        <v>5</v>
      </c>
    </row>
    <row r="14" spans="1:10">
      <c r="A14" s="10">
        <v>43563</v>
      </c>
      <c r="B14" s="18" t="s">
        <v>37</v>
      </c>
      <c r="C14" s="4"/>
      <c r="D14" s="19">
        <v>94.87</v>
      </c>
      <c r="E14" s="4">
        <f>+D14*12%</f>
        <v>11.384399999999999</v>
      </c>
      <c r="F14" s="5">
        <v>91.28</v>
      </c>
      <c r="G14" s="2"/>
      <c r="H14" s="2" t="s">
        <v>5</v>
      </c>
    </row>
    <row r="15" spans="1:10">
      <c r="A15" s="14">
        <v>43560</v>
      </c>
      <c r="B15" s="18" t="s">
        <v>47</v>
      </c>
      <c r="C15" s="3">
        <v>7.29</v>
      </c>
      <c r="D15" s="19"/>
      <c r="E15" s="4"/>
      <c r="F15" s="5">
        <f>+C15</f>
        <v>7.29</v>
      </c>
      <c r="G15" s="2"/>
      <c r="H15" s="2" t="s">
        <v>48</v>
      </c>
    </row>
    <row r="16" spans="1:10">
      <c r="A16" s="14">
        <v>43560</v>
      </c>
      <c r="B16" s="18" t="s">
        <v>49</v>
      </c>
      <c r="C16" s="3">
        <v>7.18</v>
      </c>
      <c r="D16" s="19"/>
      <c r="E16" s="4"/>
      <c r="F16" s="5">
        <f>+C16</f>
        <v>7.18</v>
      </c>
      <c r="G16" s="2"/>
      <c r="H16" s="2" t="s">
        <v>48</v>
      </c>
    </row>
    <row r="17" spans="1:9">
      <c r="A17" s="14">
        <v>43560</v>
      </c>
      <c r="B17" s="18" t="s">
        <v>50</v>
      </c>
      <c r="C17" s="3">
        <v>7.18</v>
      </c>
      <c r="D17" s="19"/>
      <c r="E17" s="4"/>
      <c r="F17" s="5">
        <f>+C17</f>
        <v>7.18</v>
      </c>
      <c r="G17" s="2"/>
      <c r="H17" s="2" t="s">
        <v>48</v>
      </c>
    </row>
    <row r="18" spans="1:9">
      <c r="A18" s="20">
        <v>43563</v>
      </c>
      <c r="B18" s="18" t="s">
        <v>51</v>
      </c>
      <c r="C18" s="3"/>
      <c r="D18" s="19">
        <v>7.84</v>
      </c>
      <c r="E18" s="4">
        <f>+D18*12%</f>
        <v>0.94079999999999997</v>
      </c>
      <c r="F18" s="5">
        <f>+D18+E18</f>
        <v>8.7807999999999993</v>
      </c>
      <c r="G18" s="2"/>
      <c r="H18" s="2" t="s">
        <v>6</v>
      </c>
    </row>
    <row r="19" spans="1:9">
      <c r="A19" s="10">
        <v>43567</v>
      </c>
      <c r="B19" s="18" t="s">
        <v>52</v>
      </c>
      <c r="C19" s="3">
        <v>108.39</v>
      </c>
      <c r="D19" s="19"/>
      <c r="E19" s="4">
        <f>+D19*12%</f>
        <v>0</v>
      </c>
      <c r="F19" s="5">
        <v>67.2</v>
      </c>
      <c r="G19" s="2">
        <f>+D19*2%</f>
        <v>0</v>
      </c>
      <c r="H19" s="2" t="s">
        <v>33</v>
      </c>
    </row>
    <row r="20" spans="1:9">
      <c r="A20" s="10">
        <v>43580</v>
      </c>
      <c r="B20" s="18" t="s">
        <v>53</v>
      </c>
      <c r="C20" s="3">
        <v>27.19</v>
      </c>
      <c r="D20" s="19"/>
      <c r="E20" s="4"/>
      <c r="F20" s="5"/>
      <c r="G20" s="2"/>
      <c r="H20" s="2"/>
    </row>
    <row r="21" spans="1:9">
      <c r="A21" s="10"/>
      <c r="B21" s="18"/>
      <c r="C21" s="3"/>
      <c r="D21" s="19"/>
      <c r="E21" s="4"/>
      <c r="F21" s="5"/>
      <c r="G21" s="2"/>
      <c r="H21" s="2"/>
    </row>
    <row r="22" spans="1:9">
      <c r="A22" s="10"/>
      <c r="B22" s="16"/>
      <c r="C22" s="11">
        <f>SUM(C12:C20)</f>
        <v>157.22999999999999</v>
      </c>
      <c r="D22" s="11">
        <f>SUM(D12:D20)</f>
        <v>195.55</v>
      </c>
      <c r="E22" s="11">
        <f t="shared" ref="E22:G22" si="5">SUM(E12:E20)</f>
        <v>23.465999999999998</v>
      </c>
      <c r="F22" s="11">
        <f t="shared" si="5"/>
        <v>350.21080000000001</v>
      </c>
      <c r="G22" s="11">
        <f t="shared" si="5"/>
        <v>0</v>
      </c>
      <c r="H22" s="12"/>
    </row>
    <row r="23" spans="1:9">
      <c r="A23" s="1"/>
      <c r="B23" s="10"/>
    </row>
    <row r="24" spans="1:9">
      <c r="A24" s="1"/>
      <c r="B24" s="10"/>
    </row>
    <row r="25" spans="1:9">
      <c r="A25" s="1"/>
    </row>
    <row r="26" spans="1:9">
      <c r="A26" s="1"/>
      <c r="B26" s="2" t="s">
        <v>9</v>
      </c>
      <c r="C26" s="2"/>
      <c r="D26" s="5">
        <f>+C9</f>
        <v>0.73</v>
      </c>
      <c r="E26" s="5">
        <f>+D26*12%</f>
        <v>8.7599999999999997E-2</v>
      </c>
      <c r="F26" s="2"/>
    </row>
    <row r="27" spans="1:9">
      <c r="A27" s="1"/>
      <c r="B27" s="2"/>
      <c r="C27" s="2"/>
      <c r="D27" s="5"/>
      <c r="E27" s="2">
        <f>+D27*14%</f>
        <v>0</v>
      </c>
      <c r="F27" s="2"/>
    </row>
    <row r="28" spans="1:9">
      <c r="A28" s="1"/>
      <c r="B28" s="2" t="s">
        <v>10</v>
      </c>
      <c r="C28" s="2"/>
      <c r="D28" s="5"/>
      <c r="E28" s="2"/>
      <c r="F28" s="2"/>
    </row>
    <row r="29" spans="1:9">
      <c r="A29" s="1"/>
      <c r="B29" s="2"/>
      <c r="C29" s="2"/>
      <c r="D29" s="5"/>
      <c r="E29" s="12">
        <f>+E26-E27+E28</f>
        <v>8.7599999999999997E-2</v>
      </c>
      <c r="F29" s="2"/>
    </row>
    <row r="30" spans="1:9">
      <c r="A30" s="1"/>
      <c r="B30" s="2" t="s">
        <v>4</v>
      </c>
      <c r="C30" s="5"/>
      <c r="D30" s="5">
        <f>+D22</f>
        <v>195.55</v>
      </c>
      <c r="E30" s="12">
        <f>+D30*0.12</f>
        <v>23.466000000000001</v>
      </c>
      <c r="F30" s="2"/>
    </row>
    <row r="31" spans="1:9">
      <c r="A31" s="1"/>
      <c r="B31" s="2"/>
      <c r="C31" s="5"/>
      <c r="D31" s="5">
        <f>+C22</f>
        <v>157.22999999999999</v>
      </c>
      <c r="E31" s="5"/>
      <c r="F31" s="2"/>
    </row>
    <row r="32" spans="1:9">
      <c r="A32" s="1"/>
      <c r="B32" s="2" t="s">
        <v>11</v>
      </c>
      <c r="C32" s="2"/>
      <c r="D32" s="5">
        <f>+D30+D31</f>
        <v>352.78</v>
      </c>
      <c r="E32" s="5">
        <f>+E29-E30</f>
        <v>-23.378400000000003</v>
      </c>
      <c r="F32" s="2"/>
      <c r="G32" s="9">
        <f>+[1]OCTUBRE!D26+[1]NOVIEMBRE!D26+[1]DICIEMBRE!D50</f>
        <v>1921.6689285714285</v>
      </c>
      <c r="H32">
        <v>1894.46</v>
      </c>
      <c r="I32" s="9">
        <f>+G32-H32</f>
        <v>27.208928571428487</v>
      </c>
    </row>
    <row r="33" spans="1:9">
      <c r="A33" s="1"/>
      <c r="B33" s="2">
        <v>605</v>
      </c>
      <c r="C33" s="2"/>
      <c r="D33" s="2"/>
      <c r="E33" s="5"/>
      <c r="F33" s="2"/>
      <c r="I33">
        <f>579*12.15%</f>
        <v>70.348500000000001</v>
      </c>
    </row>
    <row r="34" spans="1:9">
      <c r="A34" s="1"/>
      <c r="B34" s="2">
        <v>606</v>
      </c>
      <c r="C34" s="2"/>
      <c r="D34" s="2"/>
      <c r="E34" s="5">
        <f>+MARZO!E35</f>
        <v>-3.6394799999999776</v>
      </c>
      <c r="F34" s="2"/>
    </row>
    <row r="35" spans="1:9">
      <c r="A35" s="1"/>
      <c r="B35" s="2">
        <v>609</v>
      </c>
      <c r="C35" s="2"/>
      <c r="D35" s="2"/>
      <c r="E35" s="5">
        <f>-G9</f>
        <v>0</v>
      </c>
      <c r="F35" s="2"/>
    </row>
    <row r="36" spans="1:9">
      <c r="A36" s="1"/>
      <c r="B36" s="2">
        <v>615</v>
      </c>
      <c r="C36" s="2"/>
      <c r="D36" s="2"/>
      <c r="E36" s="9">
        <f>+E32</f>
        <v>-23.378400000000003</v>
      </c>
      <c r="F36" s="5"/>
    </row>
    <row r="37" spans="1:9">
      <c r="A37" s="1"/>
      <c r="B37" s="2">
        <v>617</v>
      </c>
      <c r="C37" s="2"/>
      <c r="D37" s="2"/>
      <c r="E37" s="5">
        <f>+E34</f>
        <v>-3.6394799999999776</v>
      </c>
      <c r="F37" s="5"/>
    </row>
    <row r="38" spans="1:9">
      <c r="A38" s="1"/>
      <c r="B38" s="2"/>
      <c r="C38" s="2"/>
      <c r="D38" s="2"/>
      <c r="E38" s="5"/>
      <c r="F38" s="5"/>
    </row>
    <row r="39" spans="1:9">
      <c r="A39" s="1"/>
      <c r="B39" s="2" t="s">
        <v>12</v>
      </c>
      <c r="C39" s="2"/>
      <c r="D39" s="2"/>
      <c r="E39" s="5">
        <f>+E38</f>
        <v>0</v>
      </c>
      <c r="F39" s="2"/>
    </row>
    <row r="40" spans="1:9">
      <c r="A40" s="1"/>
      <c r="B40" s="2"/>
      <c r="C40" s="2"/>
      <c r="D40" s="2"/>
      <c r="E40" s="2"/>
      <c r="F40" s="2"/>
    </row>
    <row r="41" spans="1:9">
      <c r="A41" s="1"/>
      <c r="B41" s="2" t="s">
        <v>13</v>
      </c>
      <c r="C41" s="5"/>
      <c r="D41" s="2"/>
      <c r="E41" s="5"/>
      <c r="F41" s="2"/>
    </row>
    <row r="42" spans="1:9">
      <c r="A42" s="1"/>
      <c r="B42" s="2"/>
      <c r="C42" s="2">
        <v>303</v>
      </c>
      <c r="D42" s="5"/>
      <c r="E42" s="2">
        <f>+D42*10%</f>
        <v>0</v>
      </c>
      <c r="F42" s="2"/>
      <c r="G42">
        <v>593.32000000000005</v>
      </c>
    </row>
    <row r="43" spans="1:9">
      <c r="A43" s="1"/>
      <c r="B43" s="2"/>
      <c r="C43" s="2">
        <v>344</v>
      </c>
      <c r="D43" s="5"/>
      <c r="E43" s="2">
        <f>+D43*2%</f>
        <v>0</v>
      </c>
      <c r="F43" s="2"/>
      <c r="G43">
        <f>+G42/2</f>
        <v>296.66000000000003</v>
      </c>
    </row>
    <row r="44" spans="1:9">
      <c r="A44" s="1"/>
      <c r="B44" s="2"/>
      <c r="C44" s="2">
        <v>332</v>
      </c>
      <c r="D44" s="5">
        <f>+C22+D22</f>
        <v>352.78</v>
      </c>
      <c r="E44" s="5"/>
      <c r="F44" s="2"/>
    </row>
    <row r="45" spans="1:9">
      <c r="A45" s="1"/>
      <c r="B45" s="2"/>
      <c r="C45" s="2"/>
      <c r="D45" s="5">
        <f>SUM(D42:D44)</f>
        <v>352.78</v>
      </c>
      <c r="E45" s="2">
        <f>SUM(E42:E44)</f>
        <v>0</v>
      </c>
      <c r="F45" s="2"/>
      <c r="G45">
        <f>8*30</f>
        <v>240</v>
      </c>
    </row>
    <row r="46" spans="1:9">
      <c r="A46" s="1"/>
      <c r="B46" s="2"/>
      <c r="C46" s="2"/>
      <c r="D46" s="2"/>
      <c r="E46" s="2"/>
      <c r="F46" s="2"/>
      <c r="G46">
        <f>+G45/2</f>
        <v>120</v>
      </c>
    </row>
    <row r="47" spans="1:9">
      <c r="A47" s="1"/>
      <c r="E47" s="9">
        <f>+E39+E45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H7" sqref="H7:H13"/>
    </sheetView>
  </sheetViews>
  <sheetFormatPr baseColWidth="10" defaultRowHeight="15"/>
  <cols>
    <col min="1" max="1" width="16.7109375" customWidth="1"/>
  </cols>
  <sheetData>
    <row r="1" spans="1:10">
      <c r="A1" s="1"/>
      <c r="B1" s="2" t="s">
        <v>0</v>
      </c>
      <c r="C1" s="2" t="s">
        <v>41</v>
      </c>
      <c r="D1" s="2"/>
      <c r="E1" s="2"/>
      <c r="F1" s="2" t="s">
        <v>1</v>
      </c>
      <c r="G1" s="2" t="s">
        <v>2</v>
      </c>
      <c r="H1" s="2"/>
    </row>
    <row r="2" spans="1:10">
      <c r="A2" s="18" t="s">
        <v>54</v>
      </c>
      <c r="B2" s="2">
        <v>539</v>
      </c>
      <c r="C2" s="18">
        <v>150</v>
      </c>
      <c r="D2" s="5">
        <f t="shared" ref="D2:D3" si="0">+C2*0.12</f>
        <v>18</v>
      </c>
      <c r="E2" s="5">
        <f t="shared" ref="E2:E3" si="1">+C2+D2</f>
        <v>168</v>
      </c>
      <c r="F2" s="2">
        <f>+C2*2%</f>
        <v>3</v>
      </c>
      <c r="G2" s="2"/>
      <c r="H2" s="2"/>
    </row>
    <row r="3" spans="1:10">
      <c r="A3" s="1"/>
      <c r="B3" s="2">
        <v>540</v>
      </c>
      <c r="C3" s="18">
        <v>150</v>
      </c>
      <c r="D3" s="5">
        <f t="shared" si="0"/>
        <v>18</v>
      </c>
      <c r="E3" s="5">
        <f t="shared" si="1"/>
        <v>168</v>
      </c>
      <c r="F3" s="2">
        <f>+C3*2%</f>
        <v>3</v>
      </c>
      <c r="G3" s="5"/>
      <c r="H3" s="5"/>
      <c r="I3" s="9"/>
    </row>
    <row r="4" spans="1:10">
      <c r="A4" s="6"/>
      <c r="B4" s="3"/>
      <c r="C4" s="4"/>
      <c r="D4" s="5"/>
      <c r="E4" s="5"/>
      <c r="F4" s="5"/>
      <c r="G4" s="5"/>
      <c r="H4" s="2"/>
      <c r="I4" s="6"/>
    </row>
    <row r="5" spans="1:10">
      <c r="A5" s="1"/>
      <c r="B5" s="7"/>
      <c r="C5" s="8">
        <f>SUM(C2:C4)</f>
        <v>300</v>
      </c>
      <c r="D5" s="8">
        <f>SUM(D2:D4)</f>
        <v>36</v>
      </c>
      <c r="E5" s="8">
        <f>SUM(E2:E4)</f>
        <v>336</v>
      </c>
      <c r="F5" s="8">
        <f>SUM(F2:F4)</f>
        <v>6</v>
      </c>
      <c r="G5" s="8">
        <f>SUM(G2:G4)</f>
        <v>0</v>
      </c>
      <c r="H5" s="8"/>
      <c r="I5" s="8"/>
      <c r="J5" s="9"/>
    </row>
    <row r="6" spans="1:10">
      <c r="A6" s="1"/>
      <c r="C6" s="9"/>
      <c r="D6" s="9"/>
      <c r="E6" s="9"/>
      <c r="F6" s="9"/>
      <c r="I6" s="9"/>
      <c r="J6" s="9"/>
    </row>
    <row r="7" spans="1:10">
      <c r="A7" s="1" t="s">
        <v>42</v>
      </c>
      <c r="B7" s="18" t="s">
        <v>43</v>
      </c>
      <c r="D7" s="19">
        <v>18.2</v>
      </c>
      <c r="E7" s="4">
        <f>+D7*12%</f>
        <v>2.1839999999999997</v>
      </c>
      <c r="F7" s="5">
        <f>+D7+E7</f>
        <v>20.384</v>
      </c>
      <c r="G7" s="2"/>
      <c r="H7" t="s">
        <v>44</v>
      </c>
    </row>
    <row r="8" spans="1:10">
      <c r="A8" s="10">
        <v>43591</v>
      </c>
      <c r="B8" s="18" t="s">
        <v>57</v>
      </c>
      <c r="C8" s="17"/>
      <c r="D8" s="19">
        <v>14.27</v>
      </c>
      <c r="E8" s="4">
        <f>+D8*12%</f>
        <v>1.7123999999999999</v>
      </c>
      <c r="F8" s="5">
        <v>59.42</v>
      </c>
      <c r="G8" s="2"/>
      <c r="H8" s="2" t="s">
        <v>5</v>
      </c>
    </row>
    <row r="9" spans="1:10">
      <c r="A9" s="10">
        <v>43591</v>
      </c>
      <c r="B9" s="18" t="s">
        <v>58</v>
      </c>
      <c r="C9" s="4"/>
      <c r="D9" s="19">
        <v>78.900000000000006</v>
      </c>
      <c r="E9" s="4">
        <f>+D9*12%</f>
        <v>9.468</v>
      </c>
      <c r="F9" s="5">
        <v>101.88</v>
      </c>
      <c r="G9" s="2"/>
      <c r="H9" s="2" t="s">
        <v>5</v>
      </c>
    </row>
    <row r="10" spans="1:10">
      <c r="A10" s="10">
        <v>43591</v>
      </c>
      <c r="B10" s="18" t="s">
        <v>59</v>
      </c>
      <c r="C10" s="4"/>
      <c r="D10" s="19">
        <v>93.63</v>
      </c>
      <c r="E10" s="4">
        <f>+D10*12%</f>
        <v>11.2356</v>
      </c>
      <c r="F10" s="5">
        <v>91.28</v>
      </c>
      <c r="G10" s="2"/>
      <c r="H10" s="2" t="s">
        <v>5</v>
      </c>
    </row>
    <row r="11" spans="1:10">
      <c r="A11" s="14">
        <v>43595</v>
      </c>
      <c r="B11" s="18" t="s">
        <v>60</v>
      </c>
      <c r="C11" s="3">
        <v>110.45</v>
      </c>
      <c r="D11" s="19"/>
      <c r="E11" s="4"/>
      <c r="F11" s="5">
        <f>+C11</f>
        <v>110.45</v>
      </c>
      <c r="G11" s="2"/>
      <c r="H11" s="2" t="s">
        <v>61</v>
      </c>
    </row>
    <row r="12" spans="1:10">
      <c r="A12" s="14">
        <v>43611</v>
      </c>
      <c r="B12" s="18" t="s">
        <v>62</v>
      </c>
      <c r="C12" s="3">
        <v>28.9</v>
      </c>
      <c r="D12" s="19"/>
      <c r="E12" s="4"/>
      <c r="F12" s="5">
        <f>+C12</f>
        <v>28.9</v>
      </c>
      <c r="G12" s="2"/>
      <c r="H12" s="2" t="s">
        <v>61</v>
      </c>
    </row>
    <row r="13" spans="1:10">
      <c r="A13" s="20">
        <v>43595</v>
      </c>
      <c r="B13" s="18" t="s">
        <v>63</v>
      </c>
      <c r="C13" s="3"/>
      <c r="D13" s="19">
        <v>7.84</v>
      </c>
      <c r="E13" s="4">
        <f>+D13*12%</f>
        <v>0.94079999999999997</v>
      </c>
      <c r="F13" s="5">
        <f>+D13+E13</f>
        <v>8.7807999999999993</v>
      </c>
      <c r="G13" s="2"/>
      <c r="H13" s="2" t="s">
        <v>6</v>
      </c>
    </row>
    <row r="14" spans="1:10">
      <c r="A14" s="10"/>
      <c r="B14" s="18"/>
      <c r="C14" s="3"/>
      <c r="D14" s="19"/>
      <c r="E14" s="4"/>
      <c r="F14" s="5"/>
      <c r="G14" s="2"/>
      <c r="H14" s="2"/>
    </row>
    <row r="15" spans="1:10">
      <c r="A15" s="10"/>
      <c r="B15" s="16"/>
      <c r="C15" s="11">
        <f>SUM(C7:C13)</f>
        <v>139.35</v>
      </c>
      <c r="D15" s="11">
        <f>SUM(D7:D13)</f>
        <v>212.84</v>
      </c>
      <c r="E15" s="11">
        <f t="shared" ref="E15:F15" si="2">SUM(E7:E13)</f>
        <v>25.540800000000001</v>
      </c>
      <c r="F15" s="11">
        <f t="shared" si="2"/>
        <v>421.09479999999996</v>
      </c>
      <c r="G15" s="11">
        <f>SUM(G8:G13)</f>
        <v>0</v>
      </c>
      <c r="H15" s="12"/>
    </row>
    <row r="16" spans="1:10">
      <c r="A16" s="1"/>
      <c r="B16" s="10"/>
    </row>
    <row r="17" spans="1:9">
      <c r="A17" s="1"/>
      <c r="B17" s="10"/>
    </row>
    <row r="18" spans="1:9">
      <c r="A18" s="1"/>
    </row>
    <row r="19" spans="1:9">
      <c r="A19" s="1"/>
      <c r="B19" s="2" t="s">
        <v>9</v>
      </c>
      <c r="C19" s="2"/>
      <c r="D19" s="5">
        <f>+C5</f>
        <v>300</v>
      </c>
      <c r="E19" s="5">
        <f>+D19*12%</f>
        <v>36</v>
      </c>
      <c r="F19" s="2"/>
    </row>
    <row r="20" spans="1:9">
      <c r="A20" s="1"/>
      <c r="B20" s="2"/>
      <c r="C20" s="2"/>
      <c r="D20" s="5"/>
      <c r="E20" s="2">
        <f>+D20*14%</f>
        <v>0</v>
      </c>
      <c r="F20" s="2"/>
    </row>
    <row r="21" spans="1:9">
      <c r="A21" s="1"/>
      <c r="B21" s="2" t="s">
        <v>10</v>
      </c>
      <c r="C21" s="2"/>
      <c r="D21" s="5"/>
      <c r="E21" s="2"/>
      <c r="F21" s="2"/>
    </row>
    <row r="22" spans="1:9">
      <c r="A22" s="1"/>
      <c r="B22" s="2"/>
      <c r="C22" s="2"/>
      <c r="D22" s="5"/>
      <c r="E22" s="12">
        <f>+E19-E20+E21</f>
        <v>36</v>
      </c>
      <c r="F22" s="2"/>
    </row>
    <row r="23" spans="1:9">
      <c r="A23" s="1"/>
      <c r="B23" s="2" t="s">
        <v>4</v>
      </c>
      <c r="C23" s="5"/>
      <c r="D23" s="5">
        <f>+D15</f>
        <v>212.84</v>
      </c>
      <c r="E23" s="12">
        <f>+D23*0.12</f>
        <v>25.540800000000001</v>
      </c>
      <c r="F23" s="2"/>
    </row>
    <row r="24" spans="1:9">
      <c r="A24" s="1"/>
      <c r="B24" s="2"/>
      <c r="C24" s="5"/>
      <c r="D24" s="5">
        <f>+C15</f>
        <v>139.35</v>
      </c>
      <c r="E24" s="5"/>
      <c r="F24" s="2"/>
    </row>
    <row r="25" spans="1:9">
      <c r="A25" s="1"/>
      <c r="B25" s="2" t="s">
        <v>11</v>
      </c>
      <c r="C25" s="2"/>
      <c r="D25" s="5">
        <f>+D23+D24</f>
        <v>352.19</v>
      </c>
      <c r="E25" s="5">
        <f>+E22-E23</f>
        <v>10.459199999999999</v>
      </c>
      <c r="F25" s="2"/>
      <c r="G25" s="9"/>
      <c r="I25" s="9"/>
    </row>
    <row r="26" spans="1:9">
      <c r="A26" s="1"/>
      <c r="B26" s="2">
        <v>605</v>
      </c>
      <c r="C26" s="2"/>
      <c r="D26" s="2"/>
      <c r="E26" s="5">
        <f>+ABRIL!E36</f>
        <v>-23.378400000000003</v>
      </c>
      <c r="F26" s="2"/>
    </row>
    <row r="27" spans="1:9">
      <c r="A27" s="1"/>
      <c r="B27" s="2">
        <v>606</v>
      </c>
      <c r="C27" s="2"/>
      <c r="D27" s="2"/>
      <c r="E27" s="5">
        <f>+ABRIL!E37</f>
        <v>-3.6394799999999776</v>
      </c>
      <c r="F27" s="2"/>
    </row>
    <row r="28" spans="1:9">
      <c r="A28" s="1"/>
      <c r="B28" s="2">
        <v>609</v>
      </c>
      <c r="C28" s="2"/>
      <c r="D28" s="2"/>
      <c r="E28" s="5">
        <f>-G5</f>
        <v>0</v>
      </c>
      <c r="F28" s="2"/>
    </row>
    <row r="29" spans="1:9">
      <c r="A29" s="1"/>
      <c r="B29" s="2">
        <v>615</v>
      </c>
      <c r="C29" s="2"/>
      <c r="D29" s="2"/>
      <c r="E29" s="9">
        <f>+E25+E26</f>
        <v>-12.919200000000004</v>
      </c>
      <c r="F29" s="5"/>
    </row>
    <row r="30" spans="1:9">
      <c r="A30" s="1"/>
      <c r="B30" s="2">
        <v>617</v>
      </c>
      <c r="C30" s="2"/>
      <c r="D30" s="2"/>
      <c r="E30" s="5">
        <f>+E27</f>
        <v>-3.6394799999999776</v>
      </c>
      <c r="F30" s="5"/>
    </row>
    <row r="31" spans="1:9">
      <c r="A31" s="1"/>
      <c r="B31" s="2"/>
      <c r="C31" s="2"/>
      <c r="D31" s="2"/>
      <c r="E31" s="5"/>
      <c r="F31" s="5"/>
    </row>
    <row r="32" spans="1:9">
      <c r="A32" s="1"/>
      <c r="B32" s="2" t="s">
        <v>12</v>
      </c>
      <c r="C32" s="2"/>
      <c r="D32" s="2"/>
      <c r="E32" s="5">
        <f>+E31</f>
        <v>0</v>
      </c>
      <c r="F32" s="2"/>
    </row>
    <row r="33" spans="1:7">
      <c r="A33" s="1"/>
      <c r="B33" s="2"/>
      <c r="C33" s="2"/>
      <c r="D33" s="2"/>
      <c r="E33" s="2"/>
      <c r="F33" s="2"/>
    </row>
    <row r="34" spans="1:7">
      <c r="A34" s="1"/>
      <c r="B34" s="2" t="s">
        <v>13</v>
      </c>
      <c r="C34" s="5"/>
      <c r="D34" s="2"/>
      <c r="E34" s="5"/>
      <c r="F34" s="2"/>
    </row>
    <row r="35" spans="1:7">
      <c r="A35" s="1"/>
      <c r="B35" s="2"/>
      <c r="C35" s="2">
        <v>303</v>
      </c>
      <c r="D35" s="5"/>
      <c r="E35" s="2">
        <f>+D35*10%</f>
        <v>0</v>
      </c>
      <c r="F35" s="2"/>
      <c r="G35">
        <v>593.32000000000005</v>
      </c>
    </row>
    <row r="36" spans="1:7">
      <c r="A36" s="1"/>
      <c r="B36" s="2"/>
      <c r="C36" s="2">
        <v>344</v>
      </c>
      <c r="D36" s="5"/>
      <c r="E36" s="2">
        <f>+D36*2%</f>
        <v>0</v>
      </c>
      <c r="F36" s="2"/>
      <c r="G36">
        <f>+G35/2</f>
        <v>296.66000000000003</v>
      </c>
    </row>
    <row r="37" spans="1:7">
      <c r="A37" s="1"/>
      <c r="B37" s="2"/>
      <c r="C37" s="2">
        <v>332</v>
      </c>
      <c r="D37" s="5">
        <f>+C15+D15</f>
        <v>352.19</v>
      </c>
      <c r="E37" s="5"/>
      <c r="F37" s="2"/>
    </row>
    <row r="38" spans="1:7">
      <c r="A38" s="1"/>
      <c r="B38" s="2"/>
      <c r="C38" s="2"/>
      <c r="D38" s="5">
        <f>SUM(D35:D37)</f>
        <v>352.19</v>
      </c>
      <c r="E38" s="2">
        <f>SUM(E35:E37)</f>
        <v>0</v>
      </c>
      <c r="F38" s="2"/>
      <c r="G38">
        <f>8*30</f>
        <v>240</v>
      </c>
    </row>
    <row r="39" spans="1:7">
      <c r="A39" s="1"/>
      <c r="B39" s="2"/>
      <c r="C39" s="2"/>
      <c r="D39" s="2"/>
      <c r="E39" s="2"/>
      <c r="F39" s="2"/>
      <c r="G39">
        <f>+G38/2</f>
        <v>120</v>
      </c>
    </row>
    <row r="40" spans="1:7">
      <c r="A40" s="1"/>
      <c r="E40" s="9">
        <f>+E32+E38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H9" sqref="H9:H16"/>
    </sheetView>
  </sheetViews>
  <sheetFormatPr baseColWidth="10" defaultRowHeight="15"/>
  <cols>
    <col min="1" max="1" width="17.85546875" customWidth="1"/>
  </cols>
  <sheetData>
    <row r="1" spans="1:10">
      <c r="A1" s="1"/>
      <c r="B1" s="2" t="s">
        <v>0</v>
      </c>
      <c r="C1" s="2" t="s">
        <v>71</v>
      </c>
      <c r="D1" s="2"/>
      <c r="E1" s="2"/>
      <c r="F1" s="2" t="s">
        <v>1</v>
      </c>
      <c r="G1" s="2" t="s">
        <v>2</v>
      </c>
      <c r="H1" s="2"/>
    </row>
    <row r="2" spans="1:10">
      <c r="A2" s="18" t="s">
        <v>64</v>
      </c>
      <c r="B2" s="2">
        <v>544</v>
      </c>
      <c r="C2" s="18">
        <v>358.17</v>
      </c>
      <c r="D2" s="5">
        <f t="shared" ref="D2" si="0">+C2*0.12</f>
        <v>42.980400000000003</v>
      </c>
      <c r="E2" s="5">
        <f t="shared" ref="E2" si="1">+C2+D2</f>
        <v>401.15039999999999</v>
      </c>
      <c r="F2" s="2">
        <f>+C2*2%</f>
        <v>7.1634000000000002</v>
      </c>
      <c r="G2" s="5">
        <f>+D2*70%</f>
        <v>30.086279999999999</v>
      </c>
      <c r="H2" s="5"/>
      <c r="I2" s="9"/>
    </row>
    <row r="3" spans="1:10">
      <c r="A3" s="18" t="s">
        <v>64</v>
      </c>
      <c r="B3" s="2">
        <v>545</v>
      </c>
      <c r="C3" s="18">
        <v>70</v>
      </c>
      <c r="D3" s="5">
        <f t="shared" ref="D3" si="2">+C3*0.12</f>
        <v>8.4</v>
      </c>
      <c r="E3" s="5">
        <f t="shared" ref="E3" si="3">+C3+D3</f>
        <v>78.400000000000006</v>
      </c>
      <c r="F3" s="2">
        <f>+C3*2%</f>
        <v>1.4000000000000001</v>
      </c>
      <c r="G3" s="5">
        <f t="shared" ref="G3:G5" si="4">+D3*70%</f>
        <v>5.88</v>
      </c>
      <c r="H3" s="5"/>
      <c r="I3" s="9"/>
    </row>
    <row r="4" spans="1:10">
      <c r="A4" s="18" t="s">
        <v>34</v>
      </c>
      <c r="B4" s="2">
        <v>546</v>
      </c>
      <c r="C4" s="18">
        <v>148.30000000000001</v>
      </c>
      <c r="D4" s="5">
        <f t="shared" ref="D4:D5" si="5">+C4*0.12</f>
        <v>17.795999999999999</v>
      </c>
      <c r="E4" s="5">
        <f t="shared" ref="E4:E5" si="6">+C4+D4</f>
        <v>166.096</v>
      </c>
      <c r="F4" s="2">
        <f>+C4*2%</f>
        <v>2.9660000000000002</v>
      </c>
      <c r="G4" s="5">
        <f t="shared" si="4"/>
        <v>12.457199999999998</v>
      </c>
      <c r="H4" s="5"/>
      <c r="I4" s="9"/>
    </row>
    <row r="5" spans="1:10">
      <c r="A5" s="18" t="s">
        <v>34</v>
      </c>
      <c r="B5" s="3">
        <v>547</v>
      </c>
      <c r="C5" s="4">
        <v>314.39999999999998</v>
      </c>
      <c r="D5" s="5">
        <f t="shared" si="5"/>
        <v>37.727999999999994</v>
      </c>
      <c r="E5" s="5">
        <f t="shared" si="6"/>
        <v>352.12799999999999</v>
      </c>
      <c r="F5" s="2">
        <f>+C5*2%</f>
        <v>6.2879999999999994</v>
      </c>
      <c r="G5" s="5">
        <f t="shared" si="4"/>
        <v>26.409599999999994</v>
      </c>
      <c r="H5" s="2"/>
      <c r="I5" s="6"/>
    </row>
    <row r="6" spans="1:10">
      <c r="A6" s="18"/>
      <c r="B6" s="3">
        <v>549</v>
      </c>
      <c r="C6" s="4">
        <v>150</v>
      </c>
      <c r="D6" s="5">
        <f t="shared" ref="D6" si="7">+C6*0.12</f>
        <v>18</v>
      </c>
      <c r="E6" s="5">
        <f t="shared" ref="E6" si="8">+C6+D6</f>
        <v>168</v>
      </c>
      <c r="F6" s="2">
        <f>+C6*2%</f>
        <v>3</v>
      </c>
      <c r="G6" s="5"/>
      <c r="H6" s="2"/>
      <c r="I6" s="6"/>
    </row>
    <row r="7" spans="1:10">
      <c r="A7" s="1"/>
      <c r="B7" s="7"/>
      <c r="C7" s="8">
        <f>SUM(C2:C6)</f>
        <v>1040.8699999999999</v>
      </c>
      <c r="D7" s="8">
        <f t="shared" ref="D7:G7" si="9">SUM(D2:D6)</f>
        <v>124.9044</v>
      </c>
      <c r="E7" s="8">
        <f t="shared" si="9"/>
        <v>1165.7744</v>
      </c>
      <c r="F7" s="8">
        <f t="shared" si="9"/>
        <v>20.817399999999999</v>
      </c>
      <c r="G7" s="8">
        <f t="shared" si="9"/>
        <v>74.833079999999995</v>
      </c>
      <c r="H7" s="8"/>
      <c r="I7" s="8"/>
      <c r="J7" s="9"/>
    </row>
    <row r="8" spans="1:10">
      <c r="A8" s="1"/>
      <c r="C8" s="9"/>
      <c r="D8" s="9"/>
      <c r="E8" s="9"/>
      <c r="F8" s="9"/>
      <c r="I8" s="9"/>
      <c r="J8" s="9"/>
    </row>
    <row r="9" spans="1:10">
      <c r="A9" s="1" t="s">
        <v>42</v>
      </c>
      <c r="B9" s="18" t="s">
        <v>67</v>
      </c>
      <c r="D9" s="21">
        <v>119.68</v>
      </c>
      <c r="E9" s="4">
        <f>+D9*12%</f>
        <v>14.361600000000001</v>
      </c>
      <c r="F9" s="5">
        <f>+D9+E9</f>
        <v>134.04160000000002</v>
      </c>
      <c r="G9" s="2">
        <f>+D9*1%</f>
        <v>1.1968000000000001</v>
      </c>
      <c r="H9" t="s">
        <v>44</v>
      </c>
    </row>
    <row r="10" spans="1:10">
      <c r="A10" s="10">
        <v>43591</v>
      </c>
      <c r="B10" s="18" t="s">
        <v>57</v>
      </c>
      <c r="C10" s="17"/>
      <c r="D10" s="21">
        <v>14.9</v>
      </c>
      <c r="E10" s="4">
        <f>+D10*12%</f>
        <v>1.788</v>
      </c>
      <c r="F10" s="5">
        <v>59.42</v>
      </c>
      <c r="G10" s="2"/>
      <c r="H10" s="2" t="s">
        <v>5</v>
      </c>
    </row>
    <row r="11" spans="1:10">
      <c r="A11" s="10">
        <v>43591</v>
      </c>
      <c r="B11" s="18" t="s">
        <v>65</v>
      </c>
      <c r="C11" s="4"/>
      <c r="D11" s="21">
        <v>78.900000000000006</v>
      </c>
      <c r="E11" s="4">
        <f>+D11*12%</f>
        <v>9.468</v>
      </c>
      <c r="F11" s="5">
        <v>101.88</v>
      </c>
      <c r="G11" s="2"/>
      <c r="H11" s="2" t="s">
        <v>5</v>
      </c>
    </row>
    <row r="12" spans="1:10">
      <c r="A12" s="10">
        <v>43591</v>
      </c>
      <c r="B12" s="18" t="s">
        <v>66</v>
      </c>
      <c r="C12" s="4"/>
      <c r="D12" s="21">
        <v>85.7</v>
      </c>
      <c r="E12" s="4">
        <f>+D12*12%</f>
        <v>10.284000000000001</v>
      </c>
      <c r="F12" s="5">
        <v>91.28</v>
      </c>
      <c r="G12" s="2"/>
      <c r="H12" s="2" t="s">
        <v>5</v>
      </c>
    </row>
    <row r="13" spans="1:10">
      <c r="A13" s="14">
        <v>43595</v>
      </c>
      <c r="B13" s="18" t="s">
        <v>67</v>
      </c>
      <c r="C13" s="7">
        <v>111.02</v>
      </c>
      <c r="D13" s="19"/>
      <c r="E13" s="4"/>
      <c r="F13" s="5">
        <f>+C13</f>
        <v>111.02</v>
      </c>
      <c r="G13" s="2"/>
      <c r="H13" s="2" t="s">
        <v>61</v>
      </c>
    </row>
    <row r="14" spans="1:10">
      <c r="A14" s="14">
        <v>43611</v>
      </c>
      <c r="B14" s="18" t="s">
        <v>69</v>
      </c>
      <c r="C14" s="7">
        <v>30.52</v>
      </c>
      <c r="D14" s="19"/>
      <c r="E14" s="4"/>
      <c r="F14" s="5">
        <f>+C14</f>
        <v>30.52</v>
      </c>
      <c r="G14" s="2"/>
      <c r="H14" s="2" t="s">
        <v>61</v>
      </c>
    </row>
    <row r="15" spans="1:10">
      <c r="A15" s="20">
        <v>43595</v>
      </c>
      <c r="B15" s="18" t="s">
        <v>68</v>
      </c>
      <c r="C15" s="3"/>
      <c r="D15" s="21">
        <v>6.93</v>
      </c>
      <c r="E15" s="4">
        <f>+D15*12%</f>
        <v>0.83159999999999989</v>
      </c>
      <c r="F15" s="5">
        <f>+D15+E15</f>
        <v>7.7615999999999996</v>
      </c>
      <c r="G15" s="2"/>
      <c r="H15" s="2" t="s">
        <v>6</v>
      </c>
    </row>
    <row r="16" spans="1:10">
      <c r="A16" s="10"/>
      <c r="B16" s="18" t="s">
        <v>70</v>
      </c>
      <c r="D16" s="21">
        <v>44.8</v>
      </c>
      <c r="E16" s="4">
        <f>+D16*12%</f>
        <v>5.3759999999999994</v>
      </c>
      <c r="F16" s="5">
        <f>+D16+E16</f>
        <v>50.175999999999995</v>
      </c>
      <c r="G16" s="2">
        <f>+D16*1%</f>
        <v>0.44799999999999995</v>
      </c>
      <c r="H16" t="s">
        <v>44</v>
      </c>
    </row>
    <row r="17" spans="1:12">
      <c r="A17" s="10"/>
      <c r="B17" s="16"/>
      <c r="C17" s="11">
        <f>SUM(C9:C16)</f>
        <v>141.54</v>
      </c>
      <c r="D17" s="11">
        <f>SUM(D9:D16)</f>
        <v>350.91</v>
      </c>
      <c r="E17" s="11">
        <f t="shared" ref="E17:G17" si="10">SUM(E9:E16)</f>
        <v>42.109200000000001</v>
      </c>
      <c r="F17" s="11">
        <f t="shared" si="10"/>
        <v>586.09920000000011</v>
      </c>
      <c r="G17" s="11">
        <f t="shared" si="10"/>
        <v>1.6448</v>
      </c>
      <c r="H17" s="12"/>
    </row>
    <row r="18" spans="1:12">
      <c r="A18" s="1"/>
      <c r="B18" s="10"/>
    </row>
    <row r="19" spans="1:12">
      <c r="A19" s="1"/>
      <c r="B19" s="10"/>
    </row>
    <row r="20" spans="1:12">
      <c r="A20" s="1"/>
    </row>
    <row r="21" spans="1:12">
      <c r="A21" s="1"/>
      <c r="B21" s="2" t="s">
        <v>9</v>
      </c>
      <c r="C21" s="2"/>
      <c r="D21" s="5">
        <f>+C7</f>
        <v>1040.8699999999999</v>
      </c>
      <c r="E21" s="5">
        <f>+D21*12%</f>
        <v>124.90439999999998</v>
      </c>
      <c r="F21" s="2"/>
      <c r="L21">
        <f>262*9</f>
        <v>2358</v>
      </c>
    </row>
    <row r="22" spans="1:12">
      <c r="A22" s="1"/>
      <c r="B22" s="2"/>
      <c r="C22" s="2"/>
      <c r="D22" s="5"/>
      <c r="E22" s="2">
        <f>+D22*14%</f>
        <v>0</v>
      </c>
      <c r="F22" s="2"/>
    </row>
    <row r="23" spans="1:12">
      <c r="A23" s="1"/>
      <c r="B23" s="2" t="s">
        <v>10</v>
      </c>
      <c r="C23" s="2"/>
      <c r="D23" s="5"/>
      <c r="E23" s="2"/>
      <c r="F23" s="2"/>
    </row>
    <row r="24" spans="1:12">
      <c r="A24" s="1"/>
      <c r="B24" s="2"/>
      <c r="C24" s="2"/>
      <c r="D24" s="5"/>
      <c r="E24" s="12">
        <f>+E21-E22+E23</f>
        <v>124.90439999999998</v>
      </c>
      <c r="F24" s="2"/>
    </row>
    <row r="25" spans="1:12">
      <c r="A25" s="1"/>
      <c r="B25" s="2" t="s">
        <v>4</v>
      </c>
      <c r="C25" s="5"/>
      <c r="D25" s="5">
        <f>+D17</f>
        <v>350.91</v>
      </c>
      <c r="E25" s="12">
        <f>+D25*0.12</f>
        <v>42.109200000000001</v>
      </c>
      <c r="F25" s="2"/>
    </row>
    <row r="26" spans="1:12">
      <c r="A26" s="1"/>
      <c r="B26" s="2"/>
      <c r="C26" s="5"/>
      <c r="D26" s="5">
        <f>+C17</f>
        <v>141.54</v>
      </c>
      <c r="E26" s="5"/>
      <c r="F26" s="2"/>
    </row>
    <row r="27" spans="1:12">
      <c r="A27" s="1"/>
      <c r="B27" s="2" t="s">
        <v>11</v>
      </c>
      <c r="C27" s="2"/>
      <c r="D27" s="5">
        <f>+D25+D26</f>
        <v>492.45000000000005</v>
      </c>
      <c r="E27" s="5">
        <f>+E24-E25-0.01</f>
        <v>82.785199999999975</v>
      </c>
      <c r="F27" s="2"/>
      <c r="G27" s="9"/>
      <c r="I27" s="9"/>
    </row>
    <row r="28" spans="1:12">
      <c r="A28" s="1"/>
      <c r="B28" s="2">
        <v>605</v>
      </c>
      <c r="C28" s="2"/>
      <c r="D28" s="2"/>
      <c r="E28" s="5">
        <f>+MAYO!E29</f>
        <v>-12.919200000000004</v>
      </c>
      <c r="F28" s="2"/>
    </row>
    <row r="29" spans="1:12">
      <c r="A29" s="1"/>
      <c r="B29" s="2">
        <v>606</v>
      </c>
      <c r="C29" s="2"/>
      <c r="D29" s="2"/>
      <c r="E29" s="5">
        <f>+ABRIL!E37</f>
        <v>-3.6394799999999776</v>
      </c>
      <c r="F29" s="2"/>
    </row>
    <row r="30" spans="1:12">
      <c r="A30" s="1"/>
      <c r="B30" s="2">
        <v>609</v>
      </c>
      <c r="C30" s="2"/>
      <c r="D30" s="2"/>
      <c r="E30" s="5">
        <f>-G7</f>
        <v>-74.833079999999995</v>
      </c>
      <c r="F30" s="2"/>
    </row>
    <row r="31" spans="1:12">
      <c r="A31" s="1"/>
      <c r="B31" s="2">
        <v>615</v>
      </c>
      <c r="C31" s="2"/>
      <c r="D31" s="2"/>
      <c r="E31" s="9">
        <f>+E27+E28</f>
        <v>69.865999999999971</v>
      </c>
      <c r="F31" s="5"/>
    </row>
    <row r="32" spans="1:12">
      <c r="A32" s="1"/>
      <c r="B32" s="2">
        <v>617</v>
      </c>
      <c r="C32" s="2"/>
      <c r="D32" s="2"/>
      <c r="E32" s="5">
        <f>+E29+E30+E31+0.01</f>
        <v>-8.596560000000002</v>
      </c>
      <c r="F32" s="5"/>
    </row>
    <row r="33" spans="1:7">
      <c r="A33" s="1"/>
      <c r="B33" s="2"/>
      <c r="C33" s="2"/>
      <c r="D33" s="2"/>
      <c r="E33" s="5"/>
      <c r="F33" s="5"/>
    </row>
    <row r="34" spans="1:7">
      <c r="A34" s="1"/>
      <c r="B34" s="2" t="s">
        <v>12</v>
      </c>
      <c r="C34" s="2"/>
      <c r="D34" s="2"/>
      <c r="E34" s="5">
        <f>+E33</f>
        <v>0</v>
      </c>
      <c r="F34" s="2"/>
    </row>
    <row r="35" spans="1:7">
      <c r="A35" s="1"/>
      <c r="B35" s="2"/>
      <c r="C35" s="2"/>
      <c r="D35" s="2"/>
      <c r="E35" s="2"/>
      <c r="F35" s="2"/>
    </row>
    <row r="36" spans="1:7">
      <c r="A36" s="1"/>
      <c r="B36" s="2" t="s">
        <v>13</v>
      </c>
      <c r="C36" s="5"/>
      <c r="D36" s="2"/>
      <c r="E36" s="5"/>
      <c r="F36" s="2"/>
    </row>
    <row r="37" spans="1:7">
      <c r="A37" s="1"/>
      <c r="B37" s="2"/>
      <c r="C37" s="2">
        <v>303</v>
      </c>
      <c r="D37" s="5"/>
      <c r="E37" s="2">
        <f>+D37*10%</f>
        <v>0</v>
      </c>
      <c r="F37" s="2"/>
      <c r="G37">
        <v>593.32000000000005</v>
      </c>
    </row>
    <row r="38" spans="1:7">
      <c r="A38" s="1"/>
      <c r="B38" s="2"/>
      <c r="C38" s="2">
        <v>344</v>
      </c>
      <c r="D38" s="5">
        <f>+D9+D16</f>
        <v>164.48000000000002</v>
      </c>
      <c r="E38" s="2">
        <f>+D38*1%</f>
        <v>1.6448000000000003</v>
      </c>
      <c r="F38" s="2"/>
      <c r="G38">
        <f>+G37/2</f>
        <v>296.66000000000003</v>
      </c>
    </row>
    <row r="39" spans="1:7">
      <c r="A39" s="1"/>
      <c r="B39" s="2"/>
      <c r="C39" s="2">
        <v>332</v>
      </c>
      <c r="D39" s="5">
        <f>+C17+D17</f>
        <v>492.45000000000005</v>
      </c>
      <c r="E39" s="5"/>
      <c r="F39" s="2"/>
    </row>
    <row r="40" spans="1:7">
      <c r="A40" s="1"/>
      <c r="B40" s="2"/>
      <c r="C40" s="2"/>
      <c r="D40" s="5">
        <f>SUM(D37:D39)</f>
        <v>656.93000000000006</v>
      </c>
      <c r="E40" s="2">
        <f>SUM(E37:E39)</f>
        <v>1.6448000000000003</v>
      </c>
      <c r="F40" s="2"/>
      <c r="G40">
        <f>8*30</f>
        <v>240</v>
      </c>
    </row>
    <row r="41" spans="1:7">
      <c r="A41" s="1"/>
      <c r="B41" s="2"/>
      <c r="C41" s="2"/>
      <c r="D41" s="2"/>
      <c r="E41" s="2"/>
      <c r="F41" s="2"/>
      <c r="G41">
        <f>+G40/2</f>
        <v>120</v>
      </c>
    </row>
    <row r="42" spans="1:7">
      <c r="A42" s="1"/>
      <c r="E42" s="9">
        <f>+E34+E40</f>
        <v>1.6448000000000003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C16" sqref="C16"/>
    </sheetView>
  </sheetViews>
  <sheetFormatPr baseColWidth="10" defaultRowHeight="15"/>
  <cols>
    <col min="1" max="1" width="15.5703125" customWidth="1"/>
  </cols>
  <sheetData>
    <row r="1" spans="1:10">
      <c r="A1" s="1"/>
      <c r="B1" s="2" t="s">
        <v>0</v>
      </c>
      <c r="C1" s="2" t="s">
        <v>71</v>
      </c>
      <c r="D1" s="2"/>
      <c r="E1" s="2"/>
      <c r="F1" s="2" t="s">
        <v>1</v>
      </c>
      <c r="G1" s="2" t="s">
        <v>2</v>
      </c>
      <c r="H1" s="2"/>
    </row>
    <row r="2" spans="1:10">
      <c r="A2" s="18" t="s">
        <v>34</v>
      </c>
      <c r="B2" s="2">
        <v>548</v>
      </c>
      <c r="C2" s="4">
        <v>359</v>
      </c>
      <c r="D2" s="5">
        <f t="shared" ref="D2:D4" si="0">+C2*0.12</f>
        <v>43.08</v>
      </c>
      <c r="E2" s="5">
        <f t="shared" ref="E2:E4" si="1">+C2+D2</f>
        <v>402.08</v>
      </c>
      <c r="F2" s="2">
        <f>+C2*2%</f>
        <v>7.18</v>
      </c>
      <c r="G2" s="5">
        <f>+D2*70%</f>
        <v>30.155999999999995</v>
      </c>
      <c r="H2" s="5"/>
      <c r="I2" s="9"/>
    </row>
    <row r="3" spans="1:10">
      <c r="A3" s="24" t="s">
        <v>74</v>
      </c>
      <c r="B3" s="2">
        <v>550</v>
      </c>
      <c r="C3" s="4">
        <v>150</v>
      </c>
      <c r="D3" s="5">
        <f t="shared" ref="D3" si="2">+C3*0.12</f>
        <v>18</v>
      </c>
      <c r="E3" s="5">
        <f t="shared" ref="E3" si="3">+C3+D3</f>
        <v>168</v>
      </c>
      <c r="F3" s="2">
        <f>+C3*2%</f>
        <v>3</v>
      </c>
      <c r="G3" s="5">
        <f>+D3*70%</f>
        <v>12.6</v>
      </c>
      <c r="H3" s="5"/>
      <c r="I3" s="9"/>
    </row>
    <row r="4" spans="1:10">
      <c r="A4" s="18" t="s">
        <v>34</v>
      </c>
      <c r="B4" s="2">
        <v>551</v>
      </c>
      <c r="C4">
        <v>214.3</v>
      </c>
      <c r="D4" s="5">
        <f t="shared" si="0"/>
        <v>25.716000000000001</v>
      </c>
      <c r="E4" s="5">
        <f t="shared" si="1"/>
        <v>240.01600000000002</v>
      </c>
      <c r="F4" s="2">
        <f>+C4*2%</f>
        <v>4.2860000000000005</v>
      </c>
      <c r="G4" s="5">
        <f t="shared" ref="G4" si="4">+D4*70%</f>
        <v>18.001200000000001</v>
      </c>
      <c r="H4" s="5"/>
      <c r="I4" s="9"/>
    </row>
    <row r="5" spans="1:10">
      <c r="A5" s="18" t="s">
        <v>34</v>
      </c>
      <c r="B5" s="3"/>
      <c r="C5" s="4"/>
      <c r="D5" s="5"/>
      <c r="E5" s="5"/>
      <c r="F5" s="2"/>
      <c r="G5" s="5"/>
      <c r="H5" s="2"/>
      <c r="I5" s="6"/>
    </row>
    <row r="6" spans="1:10">
      <c r="A6" s="18"/>
      <c r="B6" s="3"/>
      <c r="C6" s="4"/>
      <c r="D6" s="5"/>
      <c r="E6" s="5"/>
      <c r="F6" s="2"/>
      <c r="G6" s="5"/>
      <c r="H6" s="2"/>
      <c r="I6" s="6"/>
    </row>
    <row r="7" spans="1:10">
      <c r="A7" s="1"/>
      <c r="B7" s="7"/>
      <c r="C7" s="8">
        <f>SUM(C2:C6)</f>
        <v>723.3</v>
      </c>
      <c r="D7" s="8">
        <f t="shared" ref="D7:G7" si="5">SUM(D2:D6)</f>
        <v>86.795999999999992</v>
      </c>
      <c r="E7" s="8">
        <f t="shared" si="5"/>
        <v>810.096</v>
      </c>
      <c r="F7" s="8">
        <f t="shared" si="5"/>
        <v>14.466000000000001</v>
      </c>
      <c r="G7" s="8">
        <f t="shared" si="5"/>
        <v>60.757199999999997</v>
      </c>
      <c r="H7" s="8"/>
      <c r="I7" s="8"/>
      <c r="J7" s="9"/>
    </row>
    <row r="8" spans="1:10">
      <c r="A8" s="1"/>
      <c r="C8" s="9"/>
      <c r="D8" s="9"/>
      <c r="E8" s="9"/>
      <c r="F8" s="9"/>
      <c r="I8" s="9"/>
      <c r="J8" s="9"/>
    </row>
    <row r="9" spans="1:10">
      <c r="A9" s="1"/>
      <c r="B9" s="18"/>
      <c r="D9" s="19"/>
      <c r="E9" s="4"/>
      <c r="F9" s="5"/>
      <c r="G9" s="2"/>
    </row>
    <row r="10" spans="1:10">
      <c r="A10" s="10">
        <v>43652</v>
      </c>
      <c r="B10" s="25" t="s">
        <v>75</v>
      </c>
      <c r="C10" s="17"/>
      <c r="D10" s="19">
        <v>78.8</v>
      </c>
      <c r="E10" s="4">
        <f>+D10*12%</f>
        <v>9.4559999999999995</v>
      </c>
      <c r="F10" s="5">
        <v>59.42</v>
      </c>
      <c r="G10" s="2"/>
      <c r="H10" s="2" t="s">
        <v>5</v>
      </c>
    </row>
    <row r="11" spans="1:10">
      <c r="A11" s="10">
        <v>43652</v>
      </c>
      <c r="B11" s="25" t="s">
        <v>76</v>
      </c>
      <c r="C11" s="4"/>
      <c r="D11" s="19">
        <v>15.73</v>
      </c>
      <c r="E11" s="4">
        <f>+D11*12%</f>
        <v>1.8875999999999999</v>
      </c>
      <c r="F11" s="5">
        <v>101.88</v>
      </c>
      <c r="G11" s="2"/>
      <c r="H11" s="2" t="s">
        <v>5</v>
      </c>
    </row>
    <row r="12" spans="1:10">
      <c r="A12" s="10">
        <v>43652</v>
      </c>
      <c r="B12" s="25" t="s">
        <v>77</v>
      </c>
      <c r="C12" s="4"/>
      <c r="D12" s="19">
        <v>87.8</v>
      </c>
      <c r="E12" s="4">
        <f>+D12*12%</f>
        <v>10.536</v>
      </c>
      <c r="F12" s="5">
        <v>91.28</v>
      </c>
      <c r="G12" s="2"/>
      <c r="H12" s="2" t="s">
        <v>5</v>
      </c>
    </row>
    <row r="13" spans="1:10">
      <c r="A13" s="14">
        <v>43657</v>
      </c>
      <c r="B13" s="25" t="s">
        <v>79</v>
      </c>
      <c r="C13" s="3">
        <v>118.49</v>
      </c>
      <c r="D13" s="19"/>
      <c r="E13" s="4"/>
      <c r="F13" s="5">
        <f>+C13</f>
        <v>118.49</v>
      </c>
      <c r="G13" s="2"/>
      <c r="H13" s="2" t="s">
        <v>61</v>
      </c>
    </row>
    <row r="14" spans="1:10">
      <c r="A14" s="14">
        <v>43672</v>
      </c>
      <c r="B14" s="18" t="s">
        <v>80</v>
      </c>
      <c r="C14" s="3">
        <v>29.64</v>
      </c>
      <c r="D14" s="19"/>
      <c r="E14" s="4"/>
      <c r="F14" s="5">
        <f>+C14</f>
        <v>29.64</v>
      </c>
      <c r="G14" s="2"/>
      <c r="H14" s="2" t="s">
        <v>61</v>
      </c>
    </row>
    <row r="15" spans="1:10">
      <c r="A15" s="20">
        <v>43654</v>
      </c>
      <c r="B15" s="25" t="s">
        <v>78</v>
      </c>
      <c r="C15" s="3"/>
      <c r="D15" s="19">
        <v>9.93</v>
      </c>
      <c r="E15" s="4">
        <f>+D15*12%</f>
        <v>1.1916</v>
      </c>
      <c r="F15" s="5">
        <f>+D15+E15</f>
        <v>11.121599999999999</v>
      </c>
      <c r="G15" s="2"/>
      <c r="H15" s="2" t="s">
        <v>6</v>
      </c>
    </row>
    <row r="16" spans="1:10">
      <c r="A16" s="20">
        <v>43664</v>
      </c>
      <c r="B16" s="25" t="s">
        <v>81</v>
      </c>
      <c r="C16">
        <v>2.97</v>
      </c>
      <c r="D16" s="19"/>
      <c r="E16" s="4">
        <f>+D16*12%</f>
        <v>0</v>
      </c>
      <c r="F16" s="5">
        <f>+D16+E16</f>
        <v>0</v>
      </c>
      <c r="G16" s="2">
        <f>+D16*1%</f>
        <v>0</v>
      </c>
      <c r="H16" t="s">
        <v>82</v>
      </c>
    </row>
    <row r="17" spans="1:11">
      <c r="A17" s="20">
        <v>43664</v>
      </c>
      <c r="B17" s="25" t="s">
        <v>83</v>
      </c>
      <c r="C17">
        <v>6.29</v>
      </c>
      <c r="D17" s="19"/>
      <c r="E17" s="4">
        <f>+D17*12%</f>
        <v>0</v>
      </c>
      <c r="F17" s="5">
        <f>+D17+E17</f>
        <v>0</v>
      </c>
      <c r="G17" s="2">
        <f>+D17*1%</f>
        <v>0</v>
      </c>
      <c r="H17" t="s">
        <v>82</v>
      </c>
    </row>
    <row r="18" spans="1:11">
      <c r="A18" s="20"/>
      <c r="B18" s="18"/>
      <c r="D18" s="19"/>
      <c r="E18" s="4"/>
      <c r="F18" s="5"/>
      <c r="G18" s="2"/>
    </row>
    <row r="19" spans="1:11">
      <c r="A19" s="10"/>
      <c r="B19" s="16"/>
      <c r="C19" s="11">
        <f>SUM(C10:C18)</f>
        <v>157.38999999999999</v>
      </c>
      <c r="D19" s="11">
        <f>SUM(D10:D18)</f>
        <v>192.26</v>
      </c>
      <c r="E19" s="11">
        <f>SUM(E10:E18)</f>
        <v>23.071199999999997</v>
      </c>
      <c r="F19" s="11">
        <f>SUM(F10:F18)</f>
        <v>411.83159999999998</v>
      </c>
      <c r="G19" s="11">
        <f>SUM(G10:G18)</f>
        <v>0</v>
      </c>
      <c r="H19" s="12"/>
    </row>
    <row r="20" spans="1:11">
      <c r="A20" s="1"/>
      <c r="B20" s="10"/>
    </row>
    <row r="21" spans="1:11">
      <c r="A21" s="1"/>
      <c r="B21" s="10"/>
    </row>
    <row r="22" spans="1:11">
      <c r="A22" s="1"/>
    </row>
    <row r="23" spans="1:11">
      <c r="A23" s="1"/>
      <c r="B23" s="2" t="s">
        <v>9</v>
      </c>
      <c r="C23" s="2"/>
      <c r="D23" s="5">
        <f>+C7</f>
        <v>723.3</v>
      </c>
      <c r="E23" s="5">
        <f>+D23*12%</f>
        <v>86.795999999999992</v>
      </c>
      <c r="F23" s="2"/>
      <c r="K23">
        <v>214.3</v>
      </c>
    </row>
    <row r="24" spans="1:11">
      <c r="A24" s="1"/>
      <c r="B24" s="2"/>
      <c r="C24" s="2"/>
      <c r="D24" s="5"/>
      <c r="E24" s="2">
        <f>+D24*14%</f>
        <v>0</v>
      </c>
      <c r="F24" s="2"/>
    </row>
    <row r="25" spans="1:11">
      <c r="A25" s="1"/>
      <c r="B25" s="2" t="s">
        <v>10</v>
      </c>
      <c r="C25" s="2"/>
      <c r="D25" s="5"/>
      <c r="E25" s="2"/>
      <c r="F25" s="2"/>
    </row>
    <row r="26" spans="1:11">
      <c r="A26" s="1"/>
      <c r="B26" s="2"/>
      <c r="C26" s="2"/>
      <c r="D26" s="5"/>
      <c r="E26" s="12">
        <f>+E23-E24+E25</f>
        <v>86.795999999999992</v>
      </c>
      <c r="F26" s="2"/>
    </row>
    <row r="27" spans="1:11">
      <c r="A27" s="1"/>
      <c r="B27" s="2" t="s">
        <v>4</v>
      </c>
      <c r="C27" s="5"/>
      <c r="D27" s="5">
        <f>+D19</f>
        <v>192.26</v>
      </c>
      <c r="E27" s="12">
        <f>+D27*0.12</f>
        <v>23.071199999999997</v>
      </c>
      <c r="F27" s="2"/>
    </row>
    <row r="28" spans="1:11">
      <c r="A28" s="1"/>
      <c r="B28" s="2"/>
      <c r="C28" s="5"/>
      <c r="D28" s="5">
        <f>+C19</f>
        <v>157.38999999999999</v>
      </c>
      <c r="E28" s="5"/>
      <c r="F28" s="2"/>
    </row>
    <row r="29" spans="1:11">
      <c r="A29" s="1"/>
      <c r="B29" s="2" t="s">
        <v>11</v>
      </c>
      <c r="C29" s="2"/>
      <c r="D29" s="5">
        <f>+D27+D28</f>
        <v>349.65</v>
      </c>
      <c r="E29" s="5">
        <f>+E26-E27</f>
        <v>63.724799999999995</v>
      </c>
      <c r="F29" s="2"/>
      <c r="G29" s="9"/>
      <c r="I29" s="9"/>
    </row>
    <row r="30" spans="1:11">
      <c r="A30" s="1"/>
      <c r="B30" s="2">
        <v>605</v>
      </c>
      <c r="C30" s="2"/>
      <c r="D30" s="2"/>
      <c r="E30" s="5"/>
      <c r="F30" s="2"/>
    </row>
    <row r="31" spans="1:11">
      <c r="A31" s="1"/>
      <c r="B31" s="2">
        <v>606</v>
      </c>
      <c r="C31" s="2"/>
      <c r="D31" s="2"/>
      <c r="E31" s="5">
        <f>+JUNIO!E32</f>
        <v>-8.596560000000002</v>
      </c>
      <c r="F31" s="2"/>
    </row>
    <row r="32" spans="1:11">
      <c r="A32" s="1"/>
      <c r="B32" s="2">
        <v>609</v>
      </c>
      <c r="C32" s="2"/>
      <c r="D32" s="2"/>
      <c r="E32" s="5">
        <f>-G7</f>
        <v>-60.757199999999997</v>
      </c>
      <c r="F32" s="2"/>
    </row>
    <row r="33" spans="1:6">
      <c r="A33" s="1"/>
      <c r="B33" s="2">
        <v>615</v>
      </c>
      <c r="C33" s="2"/>
      <c r="D33" s="2"/>
      <c r="E33" s="9"/>
      <c r="F33" s="5"/>
    </row>
    <row r="34" spans="1:6">
      <c r="A34" s="1"/>
      <c r="B34" s="2">
        <v>617</v>
      </c>
      <c r="C34" s="2"/>
      <c r="D34" s="2"/>
      <c r="E34" s="5">
        <f>+E29+E31+E32</f>
        <v>-5.6289600000000064</v>
      </c>
      <c r="F34" s="5"/>
    </row>
    <row r="35" spans="1:6">
      <c r="A35" s="1"/>
      <c r="B35" s="2"/>
      <c r="C35" s="2"/>
      <c r="D35" s="2"/>
      <c r="E35" s="5"/>
      <c r="F35" s="5"/>
    </row>
    <row r="36" spans="1:6">
      <c r="A36" s="1"/>
      <c r="B36" s="2" t="s">
        <v>12</v>
      </c>
      <c r="C36" s="2"/>
      <c r="D36" s="2"/>
      <c r="E36" s="5">
        <f>+E35</f>
        <v>0</v>
      </c>
      <c r="F36" s="2"/>
    </row>
    <row r="37" spans="1:6">
      <c r="A37" s="1"/>
      <c r="B37" s="2"/>
      <c r="C37" s="2"/>
      <c r="D37" s="2"/>
      <c r="E37" s="2"/>
      <c r="F37" s="2"/>
    </row>
    <row r="38" spans="1:6">
      <c r="A38" s="1"/>
      <c r="B38" s="2" t="s">
        <v>13</v>
      </c>
      <c r="C38" s="5"/>
      <c r="D38" s="2"/>
      <c r="E38" s="5"/>
      <c r="F38" s="2"/>
    </row>
    <row r="39" spans="1:6">
      <c r="A39" s="1"/>
      <c r="B39" s="2"/>
      <c r="C39" s="2">
        <v>303</v>
      </c>
      <c r="D39" s="5"/>
      <c r="E39" s="2">
        <f>+D39*10%</f>
        <v>0</v>
      </c>
      <c r="F39" s="2"/>
    </row>
    <row r="40" spans="1:6">
      <c r="A40" s="1"/>
      <c r="B40" s="2"/>
      <c r="C40" s="2">
        <v>344</v>
      </c>
      <c r="D40" s="5"/>
      <c r="E40" s="2">
        <f>+D40*1%</f>
        <v>0</v>
      </c>
      <c r="F40" s="2"/>
    </row>
    <row r="41" spans="1:6">
      <c r="A41" s="1"/>
      <c r="B41" s="2"/>
      <c r="C41" s="2">
        <v>332</v>
      </c>
      <c r="D41" s="5">
        <f>+D19+C19</f>
        <v>349.65</v>
      </c>
      <c r="E41" s="5"/>
      <c r="F41" s="2"/>
    </row>
    <row r="42" spans="1:6">
      <c r="A42" s="1"/>
      <c r="B42" s="2"/>
      <c r="C42" s="2"/>
      <c r="D42" s="5">
        <f>SUM(D39:D41)</f>
        <v>349.65</v>
      </c>
      <c r="E42" s="2">
        <f>SUM(E39:E41)</f>
        <v>0</v>
      </c>
      <c r="F42" s="2"/>
    </row>
    <row r="43" spans="1:6">
      <c r="A43" s="1"/>
      <c r="B43" s="2"/>
      <c r="C43" s="2"/>
      <c r="D43" s="2"/>
      <c r="E43" s="2"/>
      <c r="F43" s="2"/>
    </row>
    <row r="44" spans="1:6">
      <c r="A44" s="1"/>
      <c r="E44" s="9">
        <f>+E36+E42</f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="106" zoomScaleNormal="106" workbookViewId="0">
      <selection activeCell="E20" sqref="E20"/>
    </sheetView>
  </sheetViews>
  <sheetFormatPr baseColWidth="10" defaultRowHeight="15"/>
  <cols>
    <col min="1" max="1" width="16.28515625" customWidth="1"/>
  </cols>
  <sheetData>
    <row r="1" spans="1:9">
      <c r="A1" s="1"/>
      <c r="B1" s="2" t="s">
        <v>0</v>
      </c>
      <c r="C1" s="2" t="s">
        <v>71</v>
      </c>
      <c r="D1" s="2"/>
      <c r="E1" s="2"/>
      <c r="F1" s="2" t="s">
        <v>1</v>
      </c>
      <c r="G1" s="2" t="s">
        <v>2</v>
      </c>
      <c r="H1" s="2"/>
    </row>
    <row r="2" spans="1:9">
      <c r="A2" s="6" t="s">
        <v>98</v>
      </c>
      <c r="B2" s="2">
        <v>556</v>
      </c>
      <c r="C2" s="28">
        <v>235.08</v>
      </c>
      <c r="D2" s="5">
        <f t="shared" ref="D2:D3" si="0">+C2*0.12</f>
        <v>28.209600000000002</v>
      </c>
      <c r="E2" s="5">
        <f t="shared" ref="E2:E3" si="1">+C2+D2</f>
        <v>263.28960000000001</v>
      </c>
      <c r="F2" s="2">
        <f>+C2*1%</f>
        <v>2.3508</v>
      </c>
      <c r="G2" s="5">
        <f>+D2*70%</f>
        <v>19.74672</v>
      </c>
      <c r="H2" s="5"/>
      <c r="I2" s="9"/>
    </row>
    <row r="3" spans="1:9">
      <c r="A3" s="24" t="s">
        <v>74</v>
      </c>
      <c r="B3" s="2">
        <v>557</v>
      </c>
      <c r="C3" s="4"/>
      <c r="D3" s="5">
        <f t="shared" si="0"/>
        <v>0</v>
      </c>
      <c r="E3" s="5">
        <f t="shared" si="1"/>
        <v>0</v>
      </c>
      <c r="F3" s="2">
        <f>+C3*2%</f>
        <v>0</v>
      </c>
      <c r="G3" s="5">
        <f>+D3*70%</f>
        <v>0</v>
      </c>
      <c r="H3" s="5"/>
      <c r="I3" s="9"/>
    </row>
    <row r="4" spans="1:9">
      <c r="A4" s="18"/>
      <c r="B4" s="3"/>
      <c r="C4" s="4"/>
      <c r="D4" s="5"/>
      <c r="E4" s="5"/>
      <c r="F4" s="2"/>
      <c r="G4" s="5"/>
      <c r="H4" s="2"/>
      <c r="I4" s="6"/>
    </row>
    <row r="5" spans="1:9">
      <c r="A5" s="1"/>
      <c r="B5" s="7"/>
      <c r="C5" s="8">
        <f>SUM(C2:C4)</f>
        <v>235.08</v>
      </c>
      <c r="D5" s="8">
        <f>SUM(D2:D4)</f>
        <v>28.209600000000002</v>
      </c>
      <c r="E5" s="8">
        <f>SUM(E2:E4)</f>
        <v>263.28960000000001</v>
      </c>
      <c r="F5" s="8">
        <f>SUM(F2:F4)</f>
        <v>2.3508</v>
      </c>
      <c r="G5" s="8">
        <f>SUM(G2:G4)</f>
        <v>19.74672</v>
      </c>
      <c r="H5" s="8"/>
      <c r="I5" s="8"/>
    </row>
    <row r="6" spans="1:9">
      <c r="A6" s="1"/>
      <c r="C6" s="9"/>
      <c r="D6" s="9"/>
      <c r="E6" s="9"/>
      <c r="F6" s="9"/>
      <c r="I6" s="9"/>
    </row>
    <row r="7" spans="1:9">
      <c r="A7" s="1"/>
      <c r="B7" s="18"/>
      <c r="D7" s="19"/>
      <c r="E7" s="4"/>
      <c r="F7" s="5"/>
      <c r="G7" s="2"/>
    </row>
    <row r="8" spans="1:9">
      <c r="A8" s="10">
        <v>43714</v>
      </c>
      <c r="B8" s="25" t="s">
        <v>99</v>
      </c>
      <c r="C8" s="17"/>
      <c r="D8" s="19">
        <f>+F8/1.12</f>
        <v>78.803571428571431</v>
      </c>
      <c r="E8" s="4">
        <f>+D8*12%</f>
        <v>9.456428571428571</v>
      </c>
      <c r="F8" s="5">
        <v>88.26</v>
      </c>
      <c r="G8" s="2"/>
      <c r="H8" s="2" t="s">
        <v>5</v>
      </c>
    </row>
    <row r="9" spans="1:9">
      <c r="A9" s="10">
        <v>43714</v>
      </c>
      <c r="B9" s="18" t="s">
        <v>100</v>
      </c>
      <c r="C9" s="4"/>
      <c r="D9" s="19">
        <f>+F9/1.12</f>
        <v>15.473214285714283</v>
      </c>
      <c r="E9" s="4">
        <f>+D9*12%</f>
        <v>1.8567857142857138</v>
      </c>
      <c r="F9" s="5">
        <v>17.329999999999998</v>
      </c>
      <c r="G9" s="2"/>
      <c r="H9" s="2" t="s">
        <v>5</v>
      </c>
    </row>
    <row r="10" spans="1:9">
      <c r="A10" s="10">
        <v>43714</v>
      </c>
      <c r="B10" s="18" t="s">
        <v>101</v>
      </c>
      <c r="C10" s="4"/>
      <c r="D10" s="19">
        <f>+F10/1.12</f>
        <v>104.91964285714285</v>
      </c>
      <c r="E10" s="4">
        <f>+D10*12%</f>
        <v>12.59035714285714</v>
      </c>
      <c r="F10" s="5">
        <v>117.51</v>
      </c>
      <c r="G10" s="2"/>
      <c r="H10" s="2" t="s">
        <v>5</v>
      </c>
    </row>
    <row r="11" spans="1:9">
      <c r="A11" s="10">
        <v>43687</v>
      </c>
      <c r="B11" s="18" t="s">
        <v>104</v>
      </c>
      <c r="C11" s="3">
        <v>110</v>
      </c>
      <c r="D11" s="19"/>
      <c r="E11" s="4"/>
      <c r="F11" s="5"/>
      <c r="G11" s="2"/>
      <c r="H11" s="2" t="s">
        <v>61</v>
      </c>
    </row>
    <row r="12" spans="1:9">
      <c r="A12" s="10">
        <v>43700</v>
      </c>
      <c r="B12" s="18" t="s">
        <v>105</v>
      </c>
      <c r="C12" s="3">
        <v>27.94</v>
      </c>
      <c r="D12" s="19"/>
      <c r="E12" s="4"/>
      <c r="F12" s="5"/>
      <c r="G12" s="2"/>
      <c r="H12" s="2" t="s">
        <v>61</v>
      </c>
    </row>
    <row r="13" spans="1:9">
      <c r="A13" s="10">
        <v>43717</v>
      </c>
      <c r="B13" s="18" t="s">
        <v>103</v>
      </c>
      <c r="C13" s="3"/>
      <c r="D13" s="19">
        <f>+F13/1.12</f>
        <v>14.160714285714285</v>
      </c>
      <c r="E13" s="4">
        <f>+D13*12%</f>
        <v>1.6992857142857141</v>
      </c>
      <c r="F13" s="5">
        <v>15.86</v>
      </c>
      <c r="G13" s="2"/>
      <c r="H13" s="2" t="s">
        <v>6</v>
      </c>
    </row>
    <row r="14" spans="1:9">
      <c r="A14" s="10">
        <v>43717</v>
      </c>
      <c r="B14" s="18" t="s">
        <v>102</v>
      </c>
      <c r="C14">
        <v>8.2899999999999991</v>
      </c>
      <c r="D14" s="19"/>
      <c r="E14" s="4">
        <f>+D14*12%</f>
        <v>0</v>
      </c>
      <c r="F14" s="5"/>
      <c r="G14" s="2"/>
      <c r="H14" t="s">
        <v>82</v>
      </c>
    </row>
    <row r="15" spans="1:9">
      <c r="A15" s="20">
        <v>43731</v>
      </c>
      <c r="B15" s="29" t="s">
        <v>106</v>
      </c>
      <c r="D15" s="19">
        <f>+F15/1.12</f>
        <v>24.999999999999996</v>
      </c>
      <c r="E15" s="4">
        <f>+D15*12%</f>
        <v>2.9999999999999996</v>
      </c>
      <c r="F15" s="5">
        <v>28</v>
      </c>
      <c r="G15" s="2"/>
      <c r="H15" t="s">
        <v>107</v>
      </c>
    </row>
    <row r="16" spans="1:9">
      <c r="A16" s="20"/>
      <c r="B16" s="27"/>
      <c r="D16" s="19"/>
      <c r="E16" s="4"/>
      <c r="F16" s="5"/>
      <c r="G16" s="2"/>
    </row>
    <row r="17" spans="1:8">
      <c r="A17" s="10"/>
      <c r="B17" s="16"/>
      <c r="C17" s="11">
        <f>SUM(C8:C16)</f>
        <v>146.22999999999999</v>
      </c>
      <c r="D17" s="11">
        <f>SUM(D8:D16)</f>
        <v>238.35714285714283</v>
      </c>
      <c r="E17" s="11">
        <f t="shared" ref="E17:F17" si="2">SUM(E8:E16)</f>
        <v>28.60285714285714</v>
      </c>
      <c r="F17" s="11">
        <f t="shared" si="2"/>
        <v>266.96000000000004</v>
      </c>
      <c r="G17" s="11">
        <f t="shared" ref="G17" si="3">SUM(G8:G16)</f>
        <v>0</v>
      </c>
      <c r="H17" s="12"/>
    </row>
    <row r="18" spans="1:8">
      <c r="B18" s="10"/>
    </row>
    <row r="21" spans="1:8">
      <c r="B21" s="2" t="s">
        <v>9</v>
      </c>
      <c r="C21" s="2"/>
      <c r="D21" s="5">
        <f>+C5</f>
        <v>235.08</v>
      </c>
      <c r="E21" s="5">
        <f>+D21*12%</f>
        <v>28.209600000000002</v>
      </c>
      <c r="F21" s="2"/>
    </row>
    <row r="22" spans="1:8">
      <c r="B22" s="2"/>
      <c r="C22" s="2"/>
      <c r="D22" s="5"/>
      <c r="E22" s="2">
        <f>+D22*14%</f>
        <v>0</v>
      </c>
      <c r="F22" s="2"/>
    </row>
    <row r="23" spans="1:8">
      <c r="B23" s="2" t="s">
        <v>10</v>
      </c>
      <c r="C23" s="2"/>
      <c r="D23" s="5"/>
      <c r="E23" s="2"/>
      <c r="F23" s="2"/>
    </row>
    <row r="24" spans="1:8">
      <c r="B24" s="2"/>
      <c r="C24" s="2"/>
      <c r="D24" s="5"/>
      <c r="E24" s="12">
        <f>+E21-E22+E23</f>
        <v>28.209600000000002</v>
      </c>
      <c r="F24" s="2"/>
    </row>
    <row r="25" spans="1:8">
      <c r="B25" s="2" t="s">
        <v>4</v>
      </c>
      <c r="C25" s="5"/>
      <c r="D25" s="5">
        <f>+D17</f>
        <v>238.35714285714283</v>
      </c>
      <c r="E25" s="12">
        <f>+D25*0.12</f>
        <v>28.60285714285714</v>
      </c>
      <c r="F25" s="2"/>
    </row>
    <row r="26" spans="1:8">
      <c r="B26" s="2"/>
      <c r="C26" s="5"/>
      <c r="D26" s="5">
        <f>+C17</f>
        <v>146.22999999999999</v>
      </c>
      <c r="E26" s="5"/>
      <c r="F26" s="2"/>
    </row>
    <row r="27" spans="1:8">
      <c r="B27" s="2" t="s">
        <v>11</v>
      </c>
      <c r="C27" s="2"/>
      <c r="D27" s="5">
        <f>+D25+D26</f>
        <v>384.58714285714279</v>
      </c>
      <c r="E27" s="5">
        <f>+E24-E25-0.01</f>
        <v>-0.40325714285713787</v>
      </c>
      <c r="F27" s="2"/>
    </row>
    <row r="28" spans="1:8">
      <c r="B28" s="2">
        <v>605</v>
      </c>
      <c r="C28" s="2"/>
      <c r="D28" s="2"/>
      <c r="E28" s="5"/>
      <c r="F28" s="2"/>
    </row>
    <row r="29" spans="1:8">
      <c r="B29" s="2">
        <v>606</v>
      </c>
      <c r="C29" s="2"/>
      <c r="D29" s="2"/>
      <c r="E29" s="5">
        <f>+AGOSTO!E36</f>
        <v>-29.762688571428576</v>
      </c>
      <c r="F29" s="2"/>
    </row>
    <row r="30" spans="1:8">
      <c r="B30" s="2">
        <v>609</v>
      </c>
      <c r="C30" s="2"/>
      <c r="D30" s="2"/>
      <c r="E30" s="5">
        <f>-G5</f>
        <v>-19.74672</v>
      </c>
      <c r="F30" s="2"/>
    </row>
    <row r="31" spans="1:8">
      <c r="B31" s="2">
        <v>615</v>
      </c>
      <c r="C31" s="2"/>
      <c r="D31" s="2"/>
      <c r="E31" s="9"/>
      <c r="F31" s="5"/>
    </row>
    <row r="32" spans="1:8">
      <c r="B32" s="2">
        <v>617</v>
      </c>
      <c r="C32" s="2"/>
      <c r="D32" s="2"/>
      <c r="E32" s="5">
        <f>+E27+E29+E30</f>
        <v>-49.912665714285716</v>
      </c>
      <c r="F32" s="5"/>
    </row>
    <row r="33" spans="2:6">
      <c r="B33" s="2"/>
      <c r="C33" s="2"/>
      <c r="D33" s="2"/>
      <c r="E33" s="5"/>
      <c r="F33" s="5"/>
    </row>
    <row r="34" spans="2:6">
      <c r="B34" s="2" t="s">
        <v>12</v>
      </c>
      <c r="C34" s="2"/>
      <c r="D34" s="2"/>
      <c r="E34" s="5">
        <f>+E33</f>
        <v>0</v>
      </c>
      <c r="F34" s="2"/>
    </row>
    <row r="35" spans="2:6">
      <c r="B35" s="2"/>
      <c r="C35" s="2"/>
      <c r="D35" s="2"/>
      <c r="E35" s="2"/>
      <c r="F35" s="2"/>
    </row>
    <row r="36" spans="2:6">
      <c r="B36" s="2" t="s">
        <v>13</v>
      </c>
      <c r="C36" s="5"/>
      <c r="D36" s="2"/>
      <c r="E36" s="5"/>
      <c r="F36" s="2"/>
    </row>
    <row r="37" spans="2:6">
      <c r="B37" s="2"/>
      <c r="C37" s="2">
        <v>309</v>
      </c>
      <c r="D37" s="5"/>
      <c r="E37" s="2">
        <f>+D37*1%</f>
        <v>0</v>
      </c>
      <c r="F37" s="2"/>
    </row>
    <row r="38" spans="2:6">
      <c r="B38" s="2"/>
      <c r="C38" s="2">
        <v>344</v>
      </c>
      <c r="D38" s="5">
        <f>+D14</f>
        <v>0</v>
      </c>
      <c r="E38" s="2">
        <f>+D38*2%</f>
        <v>0</v>
      </c>
      <c r="F38" s="2"/>
    </row>
    <row r="39" spans="2:6">
      <c r="B39" s="2"/>
      <c r="C39" s="2">
        <v>332</v>
      </c>
      <c r="D39" s="5">
        <f>+C17+D17</f>
        <v>384.58714285714279</v>
      </c>
      <c r="E39" s="5"/>
      <c r="F39" s="2"/>
    </row>
    <row r="40" spans="2:6">
      <c r="B40" s="2"/>
      <c r="C40" s="2"/>
      <c r="D40" s="5">
        <f>SUM(D37:D39)</f>
        <v>384.58714285714279</v>
      </c>
      <c r="E40" s="2">
        <f>SUM(E37:E39)</f>
        <v>0</v>
      </c>
      <c r="F40" s="2"/>
    </row>
    <row r="41" spans="2:6">
      <c r="B41" s="2"/>
      <c r="C41" s="2"/>
      <c r="D41" s="2"/>
      <c r="E41" s="2"/>
      <c r="F41" s="2"/>
    </row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D12" sqref="D12"/>
    </sheetView>
  </sheetViews>
  <sheetFormatPr baseColWidth="10" defaultRowHeight="15"/>
  <cols>
    <col min="1" max="1" width="14" customWidth="1"/>
    <col min="2" max="2" width="19.7109375" customWidth="1"/>
  </cols>
  <sheetData>
    <row r="1" spans="1:10">
      <c r="A1" s="1"/>
      <c r="B1" s="2" t="s">
        <v>0</v>
      </c>
      <c r="C1" s="2" t="s">
        <v>71</v>
      </c>
      <c r="D1" s="2"/>
      <c r="E1" s="2"/>
      <c r="F1" s="2" t="s">
        <v>1</v>
      </c>
      <c r="G1" s="2" t="s">
        <v>2</v>
      </c>
      <c r="H1" s="2"/>
    </row>
    <row r="2" spans="1:10">
      <c r="A2" s="18" t="s">
        <v>34</v>
      </c>
      <c r="B2" s="2">
        <v>552</v>
      </c>
      <c r="C2" s="4">
        <v>414.3</v>
      </c>
      <c r="D2" s="5">
        <f t="shared" ref="D2:D4" si="0">+C2*0.12</f>
        <v>49.716000000000001</v>
      </c>
      <c r="E2" s="5">
        <f t="shared" ref="E2:E4" si="1">+C2+D2</f>
        <v>464.01600000000002</v>
      </c>
      <c r="F2" s="2">
        <f>+C2*2%</f>
        <v>8.2859999999999996</v>
      </c>
      <c r="G2" s="5">
        <f>+D2*70%</f>
        <v>34.801200000000001</v>
      </c>
      <c r="H2" s="5"/>
      <c r="I2" s="9"/>
    </row>
    <row r="3" spans="1:10">
      <c r="A3" s="24" t="s">
        <v>74</v>
      </c>
      <c r="B3" s="2">
        <v>553</v>
      </c>
      <c r="C3" s="4"/>
      <c r="D3" s="5">
        <f t="shared" si="0"/>
        <v>0</v>
      </c>
      <c r="E3" s="5">
        <f t="shared" si="1"/>
        <v>0</v>
      </c>
      <c r="F3" s="2">
        <f>+C3*2%</f>
        <v>0</v>
      </c>
      <c r="G3" s="5">
        <f>+D3*70%</f>
        <v>0</v>
      </c>
      <c r="H3" s="5"/>
      <c r="I3" s="9"/>
    </row>
    <row r="4" spans="1:10">
      <c r="A4" s="24" t="s">
        <v>74</v>
      </c>
      <c r="B4" s="2">
        <v>554</v>
      </c>
      <c r="C4">
        <v>150</v>
      </c>
      <c r="D4" s="5">
        <f t="shared" si="0"/>
        <v>18</v>
      </c>
      <c r="E4" s="5">
        <f t="shared" si="1"/>
        <v>168</v>
      </c>
      <c r="F4" s="2">
        <f>+C4*2%</f>
        <v>3</v>
      </c>
      <c r="G4" s="5"/>
      <c r="H4" s="5"/>
      <c r="I4" s="9"/>
    </row>
    <row r="5" spans="1:10">
      <c r="A5" s="18" t="s">
        <v>34</v>
      </c>
      <c r="B5" s="3"/>
      <c r="C5" s="4"/>
      <c r="D5" s="5"/>
      <c r="E5" s="5"/>
      <c r="F5" s="2"/>
      <c r="G5" s="5"/>
      <c r="H5" s="2"/>
      <c r="I5" s="6"/>
    </row>
    <row r="6" spans="1:10">
      <c r="A6" s="18"/>
      <c r="B6" s="3"/>
      <c r="C6" s="4"/>
      <c r="D6" s="5"/>
      <c r="E6" s="5"/>
      <c r="F6" s="2"/>
      <c r="G6" s="5"/>
      <c r="H6" s="2"/>
      <c r="I6" s="6"/>
    </row>
    <row r="7" spans="1:10">
      <c r="A7" s="1"/>
      <c r="B7" s="7"/>
      <c r="C7" s="8">
        <f>SUM(C2:C6)</f>
        <v>564.29999999999995</v>
      </c>
      <c r="D7" s="8">
        <f t="shared" ref="D7:G7" si="2">SUM(D2:D6)</f>
        <v>67.716000000000008</v>
      </c>
      <c r="E7" s="8">
        <f t="shared" si="2"/>
        <v>632.01600000000008</v>
      </c>
      <c r="F7" s="8">
        <f t="shared" si="2"/>
        <v>11.286</v>
      </c>
      <c r="G7" s="8">
        <f t="shared" si="2"/>
        <v>34.801200000000001</v>
      </c>
      <c r="H7" s="8"/>
      <c r="I7" s="8"/>
      <c r="J7" s="9"/>
    </row>
    <row r="8" spans="1:10">
      <c r="A8" s="1"/>
      <c r="C8" s="9"/>
      <c r="D8" s="9"/>
      <c r="E8" s="9"/>
      <c r="F8" s="9"/>
      <c r="I8" s="9"/>
      <c r="J8" s="9"/>
    </row>
    <row r="9" spans="1:10">
      <c r="A9" s="1"/>
      <c r="B9" s="18"/>
      <c r="D9" s="19"/>
      <c r="E9" s="4"/>
      <c r="F9" s="5"/>
      <c r="G9" s="2"/>
    </row>
    <row r="10" spans="1:10">
      <c r="A10" s="10">
        <v>43683</v>
      </c>
      <c r="B10" s="26" t="s">
        <v>86</v>
      </c>
      <c r="C10" s="17"/>
      <c r="D10" s="19">
        <f>+F10/1.12</f>
        <v>99.133928571428569</v>
      </c>
      <c r="E10" s="4">
        <f>+D10*12%</f>
        <v>11.896071428571428</v>
      </c>
      <c r="F10" s="5">
        <v>111.03</v>
      </c>
      <c r="G10" s="2"/>
      <c r="H10" s="2" t="s">
        <v>5</v>
      </c>
    </row>
    <row r="11" spans="1:10">
      <c r="A11" s="10">
        <v>43683</v>
      </c>
      <c r="B11" s="26" t="s">
        <v>87</v>
      </c>
      <c r="C11" s="4"/>
      <c r="D11" s="19">
        <f>+F11/1.12</f>
        <v>78.803571428571431</v>
      </c>
      <c r="E11" s="4">
        <f>+D11*12%</f>
        <v>9.456428571428571</v>
      </c>
      <c r="F11" s="5">
        <v>88.26</v>
      </c>
      <c r="G11" s="2"/>
      <c r="H11" s="2" t="s">
        <v>5</v>
      </c>
    </row>
    <row r="12" spans="1:10">
      <c r="A12" s="10">
        <v>43683</v>
      </c>
      <c r="B12" s="26" t="s">
        <v>88</v>
      </c>
      <c r="C12" s="4"/>
      <c r="D12" s="19">
        <f>+F12/1.12</f>
        <v>14.553571428571427</v>
      </c>
      <c r="E12" s="4">
        <f>+D12*12%</f>
        <v>1.7464285714285712</v>
      </c>
      <c r="F12" s="5">
        <v>16.3</v>
      </c>
      <c r="G12" s="2"/>
      <c r="H12" s="2" t="s">
        <v>5</v>
      </c>
    </row>
    <row r="13" spans="1:10">
      <c r="A13" s="10">
        <v>43687</v>
      </c>
      <c r="B13" s="26" t="s">
        <v>91</v>
      </c>
      <c r="C13" s="3">
        <v>114.6</v>
      </c>
      <c r="D13" s="19"/>
      <c r="E13" s="4"/>
      <c r="F13" s="5">
        <f>+C13</f>
        <v>114.6</v>
      </c>
      <c r="G13" s="2"/>
      <c r="H13" s="2" t="s">
        <v>61</v>
      </c>
    </row>
    <row r="14" spans="1:10">
      <c r="A14" s="10">
        <v>43700</v>
      </c>
      <c r="B14" s="26" t="s">
        <v>93</v>
      </c>
      <c r="C14" s="3">
        <v>27.44</v>
      </c>
      <c r="D14" s="19"/>
      <c r="E14" s="4"/>
      <c r="F14" s="5">
        <f>+C14</f>
        <v>27.44</v>
      </c>
      <c r="G14" s="2"/>
      <c r="H14" s="2" t="s">
        <v>61</v>
      </c>
    </row>
    <row r="15" spans="1:10">
      <c r="A15" s="20">
        <v>43654</v>
      </c>
      <c r="B15" s="26" t="s">
        <v>90</v>
      </c>
      <c r="C15" s="3"/>
      <c r="D15" s="19">
        <v>9.93</v>
      </c>
      <c r="E15" s="4">
        <f>+D15*12%</f>
        <v>1.1916</v>
      </c>
      <c r="F15" s="5">
        <f>+D15+E15</f>
        <v>11.121599999999999</v>
      </c>
      <c r="G15" s="2"/>
      <c r="H15" s="2" t="s">
        <v>6</v>
      </c>
    </row>
    <row r="16" spans="1:10">
      <c r="A16" s="10">
        <v>43684</v>
      </c>
      <c r="B16" s="26" t="s">
        <v>89</v>
      </c>
      <c r="C16">
        <v>7.18</v>
      </c>
      <c r="D16" s="19"/>
      <c r="E16" s="4">
        <f>+D16*12%</f>
        <v>0</v>
      </c>
      <c r="F16" s="5">
        <f>+C16+E16</f>
        <v>7.18</v>
      </c>
      <c r="G16" s="2"/>
      <c r="H16" t="s">
        <v>82</v>
      </c>
    </row>
    <row r="17" spans="1:11">
      <c r="A17" s="20">
        <v>43691</v>
      </c>
      <c r="B17" s="26" t="s">
        <v>92</v>
      </c>
      <c r="C17">
        <v>4.29</v>
      </c>
      <c r="D17" s="19"/>
      <c r="E17" s="4"/>
      <c r="F17" s="5">
        <f>+C17+E17</f>
        <v>4.29</v>
      </c>
      <c r="G17" s="2"/>
      <c r="H17" t="s">
        <v>82</v>
      </c>
    </row>
    <row r="18" spans="1:11">
      <c r="A18" s="20">
        <v>43699</v>
      </c>
      <c r="B18" s="26" t="s">
        <v>95</v>
      </c>
      <c r="D18" s="19">
        <v>100</v>
      </c>
      <c r="E18" s="4">
        <f>+D18*12%</f>
        <v>12</v>
      </c>
      <c r="F18" s="5">
        <f t="shared" ref="F18:F20" si="3">+D18+E18</f>
        <v>112</v>
      </c>
      <c r="G18" s="2">
        <f>+D18*2%</f>
        <v>2</v>
      </c>
      <c r="H18" t="s">
        <v>94</v>
      </c>
    </row>
    <row r="19" spans="1:11">
      <c r="A19" s="20">
        <v>43675</v>
      </c>
      <c r="B19" s="27" t="s">
        <v>84</v>
      </c>
      <c r="D19" s="19">
        <v>71.63</v>
      </c>
      <c r="E19" s="4">
        <f>+D19*12%</f>
        <v>8.5955999999999992</v>
      </c>
      <c r="F19" s="5">
        <f t="shared" si="3"/>
        <v>80.2256</v>
      </c>
      <c r="G19" s="2">
        <f>+D19*1%</f>
        <v>0.71629999999999994</v>
      </c>
      <c r="H19" t="s">
        <v>96</v>
      </c>
    </row>
    <row r="20" spans="1:11">
      <c r="A20" s="20">
        <v>43675</v>
      </c>
      <c r="B20" s="27" t="s">
        <v>85</v>
      </c>
      <c r="D20" s="19">
        <v>101.27</v>
      </c>
      <c r="E20" s="4">
        <f>+D20*12%</f>
        <v>12.152399999999998</v>
      </c>
      <c r="F20" s="5">
        <f t="shared" si="3"/>
        <v>113.4224</v>
      </c>
      <c r="G20" s="2">
        <f>+D20*1%</f>
        <v>1.0126999999999999</v>
      </c>
      <c r="H20" t="s">
        <v>97</v>
      </c>
    </row>
    <row r="21" spans="1:11">
      <c r="A21" s="10"/>
      <c r="B21" s="16"/>
      <c r="C21" s="11">
        <f>SUM(C10:C18)</f>
        <v>153.51</v>
      </c>
      <c r="D21" s="11">
        <f>SUM(D10:D20)</f>
        <v>475.32107142857137</v>
      </c>
      <c r="E21" s="11">
        <f>SUM(E10:E20)</f>
        <v>57.038528571428564</v>
      </c>
      <c r="F21" s="11">
        <f>SUM(F10:F20)</f>
        <v>685.8696000000001</v>
      </c>
      <c r="G21" s="11">
        <f t="shared" ref="G21" si="4">SUM(G10:G18)</f>
        <v>2</v>
      </c>
      <c r="H21" s="12"/>
    </row>
    <row r="22" spans="1:11">
      <c r="B22" s="10"/>
    </row>
    <row r="23" spans="1:11">
      <c r="B23" s="10"/>
    </row>
    <row r="24" spans="1:11">
      <c r="A24" s="1"/>
    </row>
    <row r="25" spans="1:11">
      <c r="A25" s="1"/>
      <c r="B25" s="2" t="s">
        <v>9</v>
      </c>
      <c r="C25" s="2"/>
      <c r="D25" s="5">
        <f>+C7</f>
        <v>564.29999999999995</v>
      </c>
      <c r="E25" s="5">
        <f>+D25*12%</f>
        <v>67.715999999999994</v>
      </c>
      <c r="F25" s="2"/>
      <c r="K25">
        <v>214.3</v>
      </c>
    </row>
    <row r="26" spans="1:11">
      <c r="A26" s="1"/>
      <c r="B26" s="2"/>
      <c r="C26" s="2"/>
      <c r="D26" s="5"/>
      <c r="E26" s="2">
        <f>+D26*14%</f>
        <v>0</v>
      </c>
      <c r="F26" s="2"/>
    </row>
    <row r="27" spans="1:11">
      <c r="A27" s="1"/>
      <c r="B27" s="2" t="s">
        <v>10</v>
      </c>
      <c r="C27" s="2"/>
      <c r="D27" s="5"/>
      <c r="E27" s="2"/>
      <c r="F27" s="2"/>
    </row>
    <row r="28" spans="1:11">
      <c r="A28" s="1"/>
      <c r="B28" s="2"/>
      <c r="C28" s="2"/>
      <c r="D28" s="5"/>
      <c r="E28" s="12">
        <f>+E25-E26+E27</f>
        <v>67.715999999999994</v>
      </c>
      <c r="F28" s="2"/>
    </row>
    <row r="29" spans="1:11">
      <c r="A29" s="1"/>
      <c r="B29" s="2" t="s">
        <v>4</v>
      </c>
      <c r="C29" s="5"/>
      <c r="D29" s="5">
        <f>+D21</f>
        <v>475.32107142857137</v>
      </c>
      <c r="E29" s="12">
        <f>+D29*0.12</f>
        <v>57.038528571428564</v>
      </c>
      <c r="F29" s="2"/>
    </row>
    <row r="30" spans="1:11">
      <c r="A30" s="1"/>
      <c r="B30" s="2"/>
      <c r="C30" s="5"/>
      <c r="D30" s="5">
        <f>+C21</f>
        <v>153.51</v>
      </c>
      <c r="E30" s="5"/>
      <c r="F30" s="2"/>
    </row>
    <row r="31" spans="1:11">
      <c r="A31" s="1"/>
      <c r="B31" s="2" t="s">
        <v>11</v>
      </c>
      <c r="C31" s="2"/>
      <c r="D31" s="5">
        <f>+D29+D30</f>
        <v>628.83107142857136</v>
      </c>
      <c r="E31" s="5">
        <f>+E28-E29-0.01</f>
        <v>10.66747142857143</v>
      </c>
      <c r="F31" s="2"/>
      <c r="G31" s="9"/>
      <c r="I31" s="9"/>
    </row>
    <row r="32" spans="1:11">
      <c r="A32" s="1"/>
      <c r="B32" s="2">
        <v>605</v>
      </c>
      <c r="C32" s="2"/>
      <c r="D32" s="2"/>
      <c r="E32" s="5"/>
      <c r="F32" s="2"/>
    </row>
    <row r="33" spans="1:7">
      <c r="A33" s="1"/>
      <c r="B33" s="2">
        <v>606</v>
      </c>
      <c r="C33" s="2"/>
      <c r="D33" s="2"/>
      <c r="E33" s="5">
        <f>+JULIO!E34</f>
        <v>-5.6289600000000064</v>
      </c>
      <c r="F33" s="2"/>
    </row>
    <row r="34" spans="1:7">
      <c r="A34" s="1"/>
      <c r="B34" s="2">
        <v>609</v>
      </c>
      <c r="C34" s="2"/>
      <c r="D34" s="2"/>
      <c r="E34" s="5">
        <f>-G7</f>
        <v>-34.801200000000001</v>
      </c>
      <c r="F34" s="2"/>
    </row>
    <row r="35" spans="1:7">
      <c r="A35" s="1"/>
      <c r="B35" s="2">
        <v>615</v>
      </c>
      <c r="C35" s="2"/>
      <c r="D35" s="2"/>
      <c r="E35" s="9"/>
      <c r="F35" s="5"/>
    </row>
    <row r="36" spans="1:7">
      <c r="A36" s="1"/>
      <c r="B36" s="2">
        <v>617</v>
      </c>
      <c r="C36" s="2"/>
      <c r="D36" s="2"/>
      <c r="E36" s="5">
        <f>+E31+E33+E34</f>
        <v>-29.762688571428576</v>
      </c>
      <c r="F36" s="5"/>
    </row>
    <row r="37" spans="1:7">
      <c r="A37" s="1"/>
      <c r="B37" s="2"/>
      <c r="C37" s="2"/>
      <c r="D37" s="2"/>
      <c r="E37" s="5"/>
      <c r="F37" s="5"/>
    </row>
    <row r="38" spans="1:7">
      <c r="A38" s="1"/>
      <c r="B38" s="2" t="s">
        <v>12</v>
      </c>
      <c r="C38" s="2"/>
      <c r="D38" s="2"/>
      <c r="E38" s="5">
        <f>+E37</f>
        <v>0</v>
      </c>
      <c r="F38" s="2"/>
    </row>
    <row r="39" spans="1:7">
      <c r="A39" s="1"/>
      <c r="B39" s="2"/>
      <c r="C39" s="2"/>
      <c r="D39" s="2"/>
      <c r="E39" s="2"/>
      <c r="F39" s="2"/>
    </row>
    <row r="40" spans="1:7">
      <c r="A40" s="1"/>
      <c r="B40" s="2" t="s">
        <v>13</v>
      </c>
      <c r="C40" s="5"/>
      <c r="D40" s="2"/>
      <c r="E40" s="5"/>
      <c r="F40" s="2"/>
    </row>
    <row r="41" spans="1:7">
      <c r="A41" s="1"/>
      <c r="B41" s="2"/>
      <c r="C41" s="2">
        <v>309</v>
      </c>
      <c r="D41" s="5">
        <f>+D19+D20</f>
        <v>172.89999999999998</v>
      </c>
      <c r="E41" s="2">
        <f>+D41*1%</f>
        <v>1.7289999999999999</v>
      </c>
      <c r="F41" s="2"/>
      <c r="G41">
        <v>593.32000000000005</v>
      </c>
    </row>
    <row r="42" spans="1:7">
      <c r="A42" s="1"/>
      <c r="B42" s="2"/>
      <c r="C42" s="2">
        <v>344</v>
      </c>
      <c r="D42" s="5">
        <f>+D18</f>
        <v>100</v>
      </c>
      <c r="E42" s="2">
        <f>+D42*2%</f>
        <v>2</v>
      </c>
      <c r="F42" s="2"/>
      <c r="G42">
        <f>+G41/2</f>
        <v>296.66000000000003</v>
      </c>
    </row>
    <row r="43" spans="1:7">
      <c r="A43" s="1"/>
      <c r="B43" s="2"/>
      <c r="C43" s="2">
        <v>332</v>
      </c>
      <c r="D43" s="5">
        <f>+C21+D21-D18-D19-D20</f>
        <v>355.93107142857139</v>
      </c>
      <c r="E43" s="5"/>
      <c r="F43" s="2"/>
    </row>
    <row r="44" spans="1:7">
      <c r="A44" s="1"/>
      <c r="B44" s="2"/>
      <c r="C44" s="2"/>
      <c r="D44" s="5">
        <f>SUM(D41:D43)</f>
        <v>628.83107142857136</v>
      </c>
      <c r="E44" s="2">
        <f>SUM(E41:E43)</f>
        <v>3.7290000000000001</v>
      </c>
      <c r="F44" s="2"/>
      <c r="G44">
        <f>8*30</f>
        <v>240</v>
      </c>
    </row>
    <row r="45" spans="1:7">
      <c r="A45" s="1"/>
      <c r="B45" s="2"/>
      <c r="C45" s="2"/>
      <c r="D45" s="2"/>
      <c r="E45" s="2"/>
      <c r="F45" s="2"/>
      <c r="G45">
        <f>+G44/2</f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ENERO</vt:lpstr>
      <vt:lpstr>FEBRERO</vt:lpstr>
      <vt:lpstr>MARZO</vt:lpstr>
      <vt:lpstr>ABRIL</vt:lpstr>
      <vt:lpstr>MAYO</vt:lpstr>
      <vt:lpstr>JUNIO</vt:lpstr>
      <vt:lpstr>JULIO</vt:lpstr>
      <vt:lpstr>SEPTIEMBRE</vt:lpstr>
      <vt:lpstr>AGOSTO</vt:lpstr>
      <vt:lpstr>OCTUBRE</vt:lpstr>
      <vt:lpstr>NOVIEMBRE</vt:lpstr>
      <vt:lpstr>DICIEMBRE</vt:lpstr>
      <vt:lpstr>GASTOS</vt:lpstr>
      <vt:lpstr>RESUMEN</vt:lpstr>
      <vt:lpstr>PERSONAL</vt:lpstr>
      <vt:lpstr>DEPRECIACION</vt:lpstr>
      <vt:lpstr>Hoja3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2020-02-27T03:06:02Z</dcterms:modified>
</cp:coreProperties>
</file>